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bfb603b59cd4b89" /></Relationships>
</file>

<file path=xl/workbook.xml><?xml version="1.0" encoding="utf-8"?>
<x:workbook xmlns:x="http://schemas.openxmlformats.org/spreadsheetml/2006/main">
  <x:sheets>
    <x:sheet xmlns:r="http://schemas.openxmlformats.org/officeDocument/2006/relationships" name="性别的" sheetId="1" r:id="Rc287deb903b9469e"/>
    <x:sheet xmlns:r="http://schemas.openxmlformats.org/officeDocument/2006/relationships" name="品类的" sheetId="2" r:id="Rf0de392e067a4fa4"/>
    <x:sheet xmlns:r="http://schemas.openxmlformats.org/officeDocument/2006/relationships" name="功能词的" sheetId="3" r:id="R7ae9ac345a794f33"/>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00"/>
    <x:numFmt numFmtId="202" formatCode="#,##0"/>
  </x:numFmts>
  <x:fonts count="7">
    <x:font>
      <x:sz val="11"/>
      <x:name val="Carlito"/>
    </x:font>
    <x:font>
      <x:sz val="10"/>
      <x:color rgb="FF243C39"/>
      <x:name val="Microsoft YaHei"/>
    </x:font>
    <x:font>
      <x:b/>
      <x:sz val="16"/>
      <x:color rgb="FF2E4845"/>
      <x:name val="Microsoft YaHei"/>
    </x:font>
    <x:font>
      <x:sz val="10"/>
      <x:color rgb="FF667A75"/>
      <x:name val="Microsoft YaHei"/>
    </x:font>
    <x:font>
      <x:b/>
      <x:sz val="10"/>
      <x:color rgb="FFFFFFFF"/>
      <x:name val="Microsoft YaHei"/>
    </x:font>
    <x:font>
      <x:sz val="10"/>
      <x:color rgb="FF235A9B"/>
      <x:name val="Microsoft YaHei"/>
    </x:font>
    <x:font>
      <x:u val="single"/>
      <x:sz val="10"/>
      <x:color rgb="FF235A9B"/>
      <x:name val="Microsoft YaHei"/>
    </x:font>
  </x:fonts>
  <x:fills count="4">
    <x:fill>
      <x:patternFill patternType="none"/>
    </x:fill>
    <x:fill>
      <x:patternFill patternType="gray125"/>
    </x:fill>
    <x:fill>
      <x:patternFill patternType="solid">
        <x:fgColor rgb="FF2E4845"/>
      </x:patternFill>
    </x:fill>
    <x:fill>
      <x:patternFill patternType="solid">
        <x:fgColor rgb="FFFFF1CD"/>
      </x:patternFill>
    </x:fill>
  </x:fills>
  <x:borders count="5">
    <x:border>
      <x:left/>
      <x:right/>
      <x:top/>
      <x:bottom/>
      <x:diagonal/>
    </x:border>
    <x:border>
      <x:left/>
      <x:right/>
      <x:top/>
      <x:bottom style="thin">
        <x:color rgb="FFCFDBD3"/>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0"/>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4"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202"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70d0544ac6e4801" /><Relationship Type="http://schemas.openxmlformats.org/officeDocument/2006/relationships/theme" Target="/xl/theme/theme1.xml" Id="R5a856f1e0d3348b0" /><Relationship Type="http://schemas.openxmlformats.org/officeDocument/2006/relationships/sharedStrings" Target="/xl/sharedStrings.xml" Id="Rd667f3481f4441b2" /><Relationship Type="http://schemas.openxmlformats.org/officeDocument/2006/relationships/worksheet" Target="/xl/worksheets/sheet1.xml" Id="Rc287deb903b9469e" /><Relationship Type="http://schemas.openxmlformats.org/officeDocument/2006/relationships/worksheet" Target="/xl/worksheets/sheet2.xml" Id="Rf0de392e067a4fa4" /><Relationship Type="http://schemas.openxmlformats.org/officeDocument/2006/relationships/worksheet" Target="/xl/worksheets/sheet3.xml" Id="R7ae9ac345a794f33" /></Relationships>
</file>

<file path=xl/tables/table1.xml><?xml version="1.0" encoding="utf-8"?>
<x:table xmlns:x="http://schemas.openxmlformats.org/spreadsheetml/2006/main" id="1" name="GenderReview" displayName="GenderReview" ref="A6:S253" headerRowCount="1" totalsRowCount="0" totalsRowShown="0">
  <x:autoFilter ref="A6:S253"/>
  <x:tableColumns count="19">
    <x:tableColumn id="1" name="商品ID"/>
    <x:tableColumn id="2" name="人工确认性别"/>
    <x:tableColumn id="3" name="人工备注"/>
    <x:tableColumn id="4" name="商品标题"/>
    <x:tableColumn id="5" name="规范品牌"/>
    <x:tableColumn id="6" name="当前研究品类"/>
    <x:tableColumn id="7" name="当前细分形态"/>
    <x:tableColumn id="8" name="年度平均到手价（元）"/>
    <x:tableColumn id="9" name="商品链接"/>
    <x:tableColumn id="10" name="知衣链接（派生，未逐款验证）"/>
    <x:tableColumn id="11" name="主图链接"/>
    <x:tableColumn id="12" name="当前性别判定依据"/>
    <x:tableColumn id="13" name="样本来源池"/>
    <x:tableColumn id="14" name="来源文件"/>
    <x:tableColumn id="15" name="原sheet"/>
    <x:tableColumn id="16" name="原行号"/>
    <x:tableColumn id="17" name="来源SHA256"/>
    <x:tableColumn id="18" name="查询ID"/>
    <x:tableColumn id="19" name="全部来源位置"/>
  </x:tableColumns>
  <x:tableStyleInfo name="TableStyleLight1" showFirstColumn="0" showLastColumn="0" showRowStripes="1" showColumnStripes="0"/>
</x:table>
</file>

<file path=xl/tables/table2.xml><?xml version="1.0" encoding="utf-8"?>
<x:table xmlns:x="http://schemas.openxmlformats.org/spreadsheetml/2006/main" id="2" name="CategoryReview" displayName="CategoryReview" ref="A6:V1070" headerRowCount="1" totalsRowCount="0" totalsRowShown="0">
  <x:autoFilter ref="A6:V1070"/>
  <x:tableColumns count="22">
    <x:tableColumn id="1" name="商品ID"/>
    <x:tableColumn id="2" name="人工确认研究品类"/>
    <x:tableColumn id="3" name="人工确认细分形态"/>
    <x:tableColumn id="4" name="人工备注"/>
    <x:tableColumn id="5" name="待确认问题"/>
    <x:tableColumn id="6" name="当前研究品类"/>
    <x:tableColumn id="7" name="当前细分形态"/>
    <x:tableColumn id="8" name="当前性别"/>
    <x:tableColumn id="9" name="商品标题"/>
    <x:tableColumn id="10" name="规范品牌"/>
    <x:tableColumn id="11" name="年度平均到手价（元）"/>
    <x:tableColumn id="12" name="商品链接"/>
    <x:tableColumn id="13" name="知衣链接（派生，未逐款验证）"/>
    <x:tableColumn id="14" name="主图链接"/>
    <x:tableColumn id="15" name="当前形态判定依据"/>
    <x:tableColumn id="16" name="样本来源池"/>
    <x:tableColumn id="17" name="来源文件"/>
    <x:tableColumn id="18" name="原sheet"/>
    <x:tableColumn id="19" name="原行号"/>
    <x:tableColumn id="20" name="来源SHA256"/>
    <x:tableColumn id="21" name="查询ID"/>
    <x:tableColumn id="22" name="全部来源位置"/>
  </x:tableColumns>
  <x:tableStyleInfo name="TableStyleLight1" showFirstColumn="0" showLastColumn="0" showRowStripes="1" showColumnStripes="0"/>
</x:table>
</file>

<file path=xl/tables/table3.xml><?xml version="1.0" encoding="utf-8"?>
<x:table xmlns:x="http://schemas.openxmlformats.org/spreadsheetml/2006/main" id="3" name="FunctionReview" displayName="FunctionReview" ref="A6:M33" headerRowCount="1" totalsRowCount="0" totalsRowShown="0">
  <x:autoFilter ref="A6:M33"/>
  <x:tableColumns count="13">
    <x:tableColumn id="1" name="功能词"/>
    <x:tableColumn id="2" name="人工归类（基础/补充）"/>
    <x:tableColumn id="3" name="当前归类"/>
    <x:tableColumn id="4" name="功能说明／范围"/>
    <x:tableColumn id="5" name="原文直接提及商品数"/>
    <x:tableColumn id="6" name="官网科技映射商品数"/>
    <x:tableColumn id="7" name="合并去重商品数"/>
    <x:tableColumn id="8" name="代表商品原文"/>
    <x:tableColumn id="9" name="代表商品链接"/>
    <x:tableColumn id="10" name="关联官网精细功能"/>
    <x:tableColumn id="11" name="代表官网来源链接"/>
    <x:tableColumn id="12" name="检测方法ID"/>
    <x:tableColumn id="13" name="人工备注"/>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a8bf5abacd444ad" /></Relationships>
</file>

<file path=xl/worksheets/_rels/sheet2.xml.rels>&#65279;<?xml version="1.0" encoding="utf-8"?><Relationships xmlns="http://schemas.openxmlformats.org/package/2006/relationships"><Relationship Type="http://schemas.openxmlformats.org/officeDocument/2006/relationships/table" Target="/xl/tables/table2.xml" Id="Re8b4e94dc0604a4d" /></Relationships>
</file>

<file path=xl/worksheets/_rels/sheet3.xml.rels>&#65279;<?xml version="1.0" encoding="utf-8"?><Relationships xmlns="http://schemas.openxmlformats.org/package/2006/relationships"><Relationship Type="http://schemas.openxmlformats.org/officeDocument/2006/relationships/table" Target="/xl/tables/table3.xml" Id="Rc916f5bf33e94641" /></Relationships>
</file>

<file path=xl/worksheets/sheet1.xml><?xml version="1.0" encoding="utf-8"?>
<x:worksheet xmlns:x="http://schemas.openxmlformats.org/spreadsheetml/2006/main">
  <x:sheetPr>
    <x:tabColor rgb="FF2E4845"/>
  </x:sheetPr>
  <x:sheetViews>
    <x:sheetView showGridLines="0" workbookViewId="0">
      <x:pane xSplit="3" ySplit="6" topLeftCell="D7" activePane="bottomRight" state="frozen"/>
    </x:sheetView>
  </x:sheetViews>
  <x:sheetFormatPr defaultRowHeight="15"/>
  <x:cols>
    <x:col min="1" max="1" width="19" hidden="0" customWidth="1"/>
    <x:col min="2" max="2" width="19" hidden="0" customWidth="1"/>
    <x:col min="3" max="3" width="27" hidden="0" customWidth="1"/>
    <x:col min="4" max="4" width="62" hidden="0" customWidth="1"/>
    <x:col min="5" max="5" width="24" hidden="0" customWidth="1"/>
    <x:col min="6" max="6" width="19" hidden="0" customWidth="1"/>
    <x:col min="7" max="7" width="28" hidden="0" customWidth="1"/>
    <x:col min="8" max="8" width="23" hidden="0" customWidth="1"/>
    <x:col min="9" max="9" width="28" hidden="0" customWidth="1"/>
    <x:col min="10" max="10" width="31" hidden="0" customWidth="1"/>
    <x:col min="11" max="11" width="31" hidden="0" customWidth="1"/>
    <x:col min="12" max="12" width="66" hidden="0" customWidth="1"/>
    <x:col min="13" max="13" width="23" hidden="0" customWidth="1"/>
    <x:col min="14" max="14" width="62" hidden="0" customWidth="1"/>
    <x:col min="15" max="15" width="15" hidden="0" customWidth="1"/>
    <x:col min="16" max="16" width="11" hidden="0" customWidth="1"/>
    <x:col min="17" max="17" width="66" hidden="0" customWidth="1"/>
    <x:col min="18" max="18" width="56" hidden="0" customWidth="1"/>
    <x:col min="19" max="19" width="86" hidden="0" customWidth="1"/>
  </x:cols>
  <x:sheetData>
    <x:row r="1">
      <x:c r="A1" s="2"/>
      <x:c r="B1" s="2"/>
      <x:c r="C1" s="2"/>
      <x:c r="D1" s="2"/>
      <x:c r="E1" s="2"/>
      <x:c r="F1" s="2"/>
      <x:c r="G1" s="2"/>
      <x:c r="H1" s="2"/>
      <x:c r="I1" s="2"/>
      <x:c r="J1" s="2"/>
      <x:c r="K1" s="2"/>
      <x:c r="L1" s="2"/>
      <x:c r="M1" s="2"/>
      <x:c r="N1" s="2"/>
      <x:c r="O1" s="2"/>
      <x:c r="P1" s="2"/>
      <x:c r="Q1" s="2"/>
      <x:c r="R1" s="2"/>
      <x:c r="S1" s="2"/>
    </x:row>
    <x:row r="2" ht="32" customHeight="1">
      <x:c r="A2" s="4" t="str">
        <x:v>性别待确认</x:v>
      </x:c>
      <x:c r="B2" s="5"/>
      <x:c r="C2" s="5"/>
      <x:c r="D2" s="5"/>
      <x:c r="E2" s="5"/>
      <x:c r="F2" s="5"/>
      <x:c r="G2" s="5"/>
      <x:c r="H2" s="5"/>
      <x:c r="I2" s="5"/>
      <x:c r="J2" s="5"/>
      <x:c r="K2" s="5"/>
      <x:c r="L2" s="5"/>
      <x:c r="M2" s="5"/>
      <x:c r="N2" s="5"/>
      <x:c r="O2" s="5"/>
      <x:c r="P2" s="5"/>
      <x:c r="Q2" s="5"/>
      <x:c r="R2" s="5"/>
      <x:c r="S2" s="5"/>
    </x:row>
    <x:row r="3" ht="23" customHeight="1">
      <x:c r="A3" s="7" t="str">
        <x:v>共 247 款。请在 B 列选择性别，C 列填写必要备注。保留商品 ID，便于后续回填。</x:v>
      </x:c>
      <x:c r="B3" s="7"/>
      <x:c r="C3" s="7"/>
      <x:c r="D3" s="7"/>
      <x:c r="E3" s="7"/>
      <x:c r="F3" s="7"/>
      <x:c r="G3" s="7"/>
      <x:c r="H3" s="7"/>
      <x:c r="I3" s="7"/>
      <x:c r="J3" s="7"/>
      <x:c r="K3" s="7"/>
      <x:c r="L3" s="7"/>
      <x:c r="M3" s="7"/>
      <x:c r="N3" s="7"/>
      <x:c r="O3" s="7"/>
      <x:c r="P3" s="7"/>
      <x:c r="Q3" s="7"/>
      <x:c r="R3" s="7"/>
      <x:c r="S3" s="7"/>
    </x:row>
    <x:row r="4" ht="23" customHeight="1">
      <x:c r="A4" s="7" t="str">
        <x:v>商品链接可点击打开。知衣链接按商品 ID 派生，未逐款验证；打不开时可使用商品链接。</x:v>
      </x:c>
      <x:c r="B4" s="7"/>
      <x:c r="C4" s="7"/>
      <x:c r="D4" s="7"/>
      <x:c r="E4" s="7"/>
      <x:c r="F4" s="7"/>
      <x:c r="G4" s="7"/>
      <x:c r="H4" s="7"/>
      <x:c r="I4" s="7"/>
      <x:c r="J4" s="7"/>
      <x:c r="K4" s="7"/>
      <x:c r="L4" s="7"/>
      <x:c r="M4" s="7"/>
      <x:c r="N4" s="7"/>
      <x:c r="O4" s="7"/>
      <x:c r="P4" s="7"/>
      <x:c r="Q4" s="7"/>
      <x:c r="R4" s="7"/>
      <x:c r="S4" s="7"/>
    </x:row>
    <x:row r="5" ht="10" customHeight="1">
      <x:c r="A5" s="2"/>
      <x:c r="B5" s="2"/>
      <x:c r="C5" s="2"/>
      <x:c r="D5" s="2"/>
      <x:c r="E5" s="2"/>
      <x:c r="F5" s="2"/>
      <x:c r="G5" s="2"/>
      <x:c r="H5" s="2"/>
      <x:c r="I5" s="2"/>
      <x:c r="J5" s="2"/>
      <x:c r="K5" s="2"/>
      <x:c r="L5" s="2"/>
      <x:c r="M5" s="2"/>
      <x:c r="N5" s="2"/>
      <x:c r="O5" s="2"/>
      <x:c r="P5" s="2"/>
      <x:c r="Q5" s="2"/>
      <x:c r="R5" s="2"/>
      <x:c r="S5" s="2"/>
    </x:row>
    <x:row r="6" ht="36" customHeight="1">
      <x:c r="A6" s="18" t="str">
        <x:v>商品ID</x:v>
      </x:c>
      <x:c r="B6" s="19" t="str">
        <x:v>人工确认性别</x:v>
      </x:c>
      <x:c r="C6" s="19" t="str">
        <x:v>人工备注</x:v>
      </x:c>
      <x:c r="D6" s="19" t="str">
        <x:v>商品标题</x:v>
      </x:c>
      <x:c r="E6" s="19" t="str">
        <x:v>规范品牌</x:v>
      </x:c>
      <x:c r="F6" s="19" t="str">
        <x:v>当前研究品类</x:v>
      </x:c>
      <x:c r="G6" s="19" t="str">
        <x:v>当前细分形态</x:v>
      </x:c>
      <x:c r="H6" s="19" t="str">
        <x:v>年度平均到手价（元）</x:v>
      </x:c>
      <x:c r="I6" s="19" t="str">
        <x:v>商品链接</x:v>
      </x:c>
      <x:c r="J6" s="19" t="str">
        <x:v>知衣链接（派生，未逐款验证）</x:v>
      </x:c>
      <x:c r="K6" s="19" t="str">
        <x:v>主图链接</x:v>
      </x:c>
      <x:c r="L6" s="19" t="str">
        <x:v>当前性别判定依据</x:v>
      </x:c>
      <x:c r="M6" s="19" t="str">
        <x:v>样本来源池</x:v>
      </x:c>
      <x:c r="N6" s="19" t="str">
        <x:v>来源文件</x:v>
      </x:c>
      <x:c r="O6" s="19" t="str">
        <x:v>原sheet</x:v>
      </x:c>
      <x:c r="P6" s="19" t="str">
        <x:v>原行号</x:v>
      </x:c>
      <x:c r="Q6" s="19" t="str">
        <x:v>来源SHA256</x:v>
      </x:c>
      <x:c r="R6" s="19" t="str">
        <x:v>查询ID</x:v>
      </x:c>
      <x:c r="S6" s="20" t="str">
        <x:v>全部来源位置</x:v>
      </x:c>
    </x:row>
    <x:row r="7" ht="58" customHeight="1">
      <x:c r="A7" s="23" t="str">
        <x:v>1019322730310</x:v>
      </x:c>
      <x:c r="B7" s="22"/>
      <x:c r="C7" s="22"/>
      <x:c r="D7" s="9" t="str">
        <x:v>2月adidas阿迪达斯 DENINM JORTS联名款纯棉运动时尚短裤KF4917</x:v>
      </x:c>
      <x:c r="E7" s="9" t="str">
        <x:v>ADIDAS/阿迪达斯</x:v>
      </x:c>
      <x:c r="F7" s="9" t="str">
        <x:v>短裤</x:v>
      </x:c>
      <x:c r="G7" s="9" t="str">
        <x:v>运动短裤</x:v>
      </x:c>
      <x:c r="H7" s="24" t="n">
        <x:v>1100.15</x:v>
      </x:c>
      <x:c r="I7" s="25" t="e">
        <x:f>HYPERLINK("https://item.taobao.com/item.htm?id=1019322730310","打开商品")</x:f>
        <x:v>HYPERLINK is not implemented. linkLocation=https://item.taobao.com/item.htm?id=1019322730310, friendlyName=打开商品</x:v>
      </x:c>
      <x:c r="J7" s="25" t="e">
        <x:f>HYPERLINK("https://data.zhiyitech.cn/itemDetail/overview/base?itemId=1019322730310","打开知衣")</x:f>
        <x:v>HYPERLINK is not implemented. linkLocation=https://data.zhiyitech.cn/itemDetail/overview/base?itemId=1019322730310, friendlyName=打开知衣</x:v>
      </x:c>
      <x:c r="K7" s="25" t="e">
        <x:f>HYPERLINK("https://img.alicdn.com/bao/uploaded/i2/68653748/O1CN01LIAP5o1dYdZnSvNq6~crop,19,0,562,750~_!!68653748.jpg","查看主图")</x:f>
        <x:v>HYPERLINK is not implemented. linkLocation=https://img.alicdn.com/bao/uploaded/i2/68653748/O1CN01LIAP5o1dYdZnSvNq6~crop,19,0,562,750~_!!68653748.jpg, friendlyName=查看主图</x:v>
      </x:c>
      <x:c r="L7" s="9" t="str">
        <x:v>无明确性别信息</x:v>
      </x:c>
      <x:c r="M7" s="9" t="str">
        <x:v>运动下装</x:v>
      </x:c>
      <x:c r="N7" s="9" t="str">
        <x:v>排行榜_商品榜_销售额榜_热销_运动服_休闲服装-运休闲服装-跑步短裤_2025-11-01_2026-10-31 (9).xlsx</x:v>
      </x:c>
      <x:c r="O7" s="9" t="str">
        <x:v>默认</x:v>
      </x:c>
      <x:c r="P7" s="9" t="n">
        <x:v>411</x:v>
      </x:c>
      <x:c r="Q7" s="9" t="str">
        <x:v>bf4c13b761e645dc5b709fecfe2eba562c597469bada8d60d13514dd26d590ba</x:v>
      </x:c>
      <x:c r="R7" s="9" t="str">
        <x:v>MIX_SPORT_AVGPAID_1100_1200_ANNUAL2026</x:v>
      </x:c>
      <x:c r="S7" s="9" t="str">
        <x:v>排行榜_商品榜_销售额榜_热销_运动服_休闲服装-运休闲服装-跑步短裤_2025-11-01_2026-10-31 (9).xlsx / 默认 / 第411行 / SHA256 bf4c13b761e645dc5b709fecfe2eba562c597469bada8d60d13514dd26d590ba</x:v>
      </x:c>
    </x:row>
    <x:row r="8" ht="58" customHeight="1">
      <x:c r="A8" s="23" t="str">
        <x:v>990289787378</x:v>
      </x:c>
      <x:c r="B8" s="22"/>
      <x:c r="C8" s="22"/>
      <x:c r="D8" s="9" t="str">
        <x:v>WILLY CHAVARRIA联名运动短裤adidas Originals阿迪达斯三叶草</x:v>
      </x:c>
      <x:c r="E8" s="9" t="str">
        <x:v>ADIDAS/阿迪达斯</x:v>
      </x:c>
      <x:c r="F8" s="9" t="str">
        <x:v>短裤</x:v>
      </x:c>
      <x:c r="G8" s="9" t="str">
        <x:v>运动短裤</x:v>
      </x:c>
      <x:c r="H8" s="24" t="n">
        <x:v>1050.05</x:v>
      </x:c>
      <x:c r="I8" s="25" t="e">
        <x:f>HYPERLINK("https://item.taobao.com/item.htm?id=990289787378","打开商品")</x:f>
        <x:v>HYPERLINK is not implemented. linkLocation=https://item.taobao.com/item.htm?id=990289787378, friendlyName=打开商品</x:v>
      </x:c>
      <x:c r="J8" s="25" t="e">
        <x:f>HYPERLINK("https://data.zhiyitech.cn/itemDetail/overview/base?itemId=990289787378","打开知衣")</x:f>
        <x:v>HYPERLINK is not implemented. linkLocation=https://data.zhiyitech.cn/itemDetail/overview/base?itemId=990289787378, friendlyName=打开知衣</x:v>
      </x:c>
      <x:c r="K8" s="25" t="e">
        <x:f>HYPERLINK("https://img.alicdn.com/bao/uploaded/i4/2211842372764/O1CN01tI4OuX1WHxpuqk80U_!!4611686018427384988-0-item_pic.jpg","查看主图")</x:f>
        <x:v>HYPERLINK is not implemented. linkLocation=https://img.alicdn.com/bao/uploaded/i4/2211842372764/O1CN01tI4OuX1WHxpuqk80U_!!4611686018427384988-0-item_pic.jpg, friendlyName=查看主图</x:v>
      </x:c>
      <x:c r="L8" s="9" t="str">
        <x:v>无明确性别信息</x:v>
      </x:c>
      <x:c r="M8" s="9" t="str">
        <x:v>运动下装</x:v>
      </x:c>
      <x:c r="N8" s="9" t="str">
        <x:v>排行榜_商品榜_销售额榜_热销_运动服_休闲服装-运休闲服装-跑步短裤_2025-11-01_2026-10-31 (10).xlsx</x:v>
      </x:c>
      <x:c r="O8" s="9" t="str">
        <x:v>默认</x:v>
      </x:c>
      <x:c r="P8" s="9" t="n">
        <x:v>327</x:v>
      </x:c>
      <x:c r="Q8" s="9" t="str">
        <x:v>77c2723e3730f60e82908e61638dbb3700ba4d487e03331cf25303638bb2767e</x:v>
      </x:c>
      <x:c r="R8" s="9" t="str">
        <x:v>MIX_SPORT_AVGPAID_1000_1100_ANNUAL2026</x:v>
      </x:c>
      <x:c r="S8" s="9" t="str">
        <x:v>排行榜_商品榜_销售额榜_热销_运动服_休闲服装-运休闲服装-跑步短裤_2025-11-01_2026-10-31 (10).xlsx / 默认 / 第327行 / SHA256 77c2723e3730f60e82908e61638dbb3700ba4d487e03331cf25303638bb2767e</x:v>
      </x:c>
    </x:row>
    <x:row r="9" ht="58" customHeight="1">
      <x:c r="A9" s="23" t="str">
        <x:v>669465385084</x:v>
      </x:c>
      <x:c r="B9" s="22"/>
      <x:c r="C9" s="22"/>
      <x:c r="D9" s="9" t="str">
        <x:v>AIVEI艾薇2020春季专柜正品小香风高腰短裤M7103001-1180</x:v>
      </x:c>
      <x:c r="E9" s="9" t="str">
        <x:v>AIVEI</x:v>
      </x:c>
      <x:c r="F9" s="9" t="str">
        <x:v>短裤</x:v>
      </x:c>
      <x:c r="G9" s="9" t="str">
        <x:v>运动短裤</x:v>
      </x:c>
      <x:c r="H9" s="24" t="n">
        <x:v>1107.66</x:v>
      </x:c>
      <x:c r="I9" s="25" t="e">
        <x:f>HYPERLINK("https://item.taobao.com/item.htm?id=669465385084","打开商品")</x:f>
        <x:v>HYPERLINK is not implemented. linkLocation=https://item.taobao.com/item.htm?id=669465385084, friendlyName=打开商品</x:v>
      </x:c>
      <x:c r="J9" s="25" t="e">
        <x:f>HYPERLINK("https://data.zhiyitech.cn/itemDetail/overview/base?itemId=669465385084","打开知衣")</x:f>
        <x:v>HYPERLINK is not implemented. linkLocation=https://data.zhiyitech.cn/itemDetail/overview/base?itemId=669465385084, friendlyName=打开知衣</x:v>
      </x:c>
      <x:c r="K9" s="25" t="e">
        <x:f>HYPERLINK("https://img.alicdn.com/bao/uploaded/i1/1767664749/O1CN013yf1Ce1kx5qU0pwuF_!!1767664749.jpg","查看主图")</x:f>
        <x:v>HYPERLINK is not implemented. linkLocation=https://img.alicdn.com/bao/uploaded/i1/1767664749/O1CN013yf1Ce1kx5qU0pwuF_!!1767664749.jpg, friendlyName=查看主图</x:v>
      </x:c>
      <x:c r="L9" s="9" t="str">
        <x:v>无明确性别信息</x:v>
      </x:c>
      <x:c r="M9" s="9" t="str">
        <x:v>运动下装</x:v>
      </x:c>
      <x:c r="N9" s="9" t="str">
        <x:v>排行榜_商品榜_销售额榜_热销_运动服_休闲服装-运休闲服装-跑步短裤_2025-11-01_2026-10-31 (9).xlsx</x:v>
      </x:c>
      <x:c r="O9" s="9" t="str">
        <x:v>默认</x:v>
      </x:c>
      <x:c r="P9" s="9" t="n">
        <x:v>256</x:v>
      </x:c>
      <x:c r="Q9" s="9" t="str">
        <x:v>bf4c13b761e645dc5b709fecfe2eba562c597469bada8d60d13514dd26d590ba</x:v>
      </x:c>
      <x:c r="R9" s="9" t="str">
        <x:v>MIX_SPORT_AVGPAID_1100_1200_ANNUAL2026</x:v>
      </x:c>
      <x:c r="S9" s="9" t="str">
        <x:v>排行榜_商品榜_销售额榜_热销_运动服_休闲服装-运休闲服装-跑步短裤_2025-11-01_2026-10-31 (9).xlsx / 默认 / 第256行 / SHA256 bf4c13b761e645dc5b709fecfe2eba562c597469bada8d60d13514dd26d590ba</x:v>
      </x:c>
    </x:row>
    <x:row r="10" ht="58" customHeight="1">
      <x:c r="A10" s="23" t="str">
        <x:v>911210726488</x:v>
      </x:c>
      <x:c r="B10" s="22"/>
      <x:c r="C10" s="22"/>
      <x:c r="D10" s="9" t="str">
        <x:v>旷野牧歌印花防泼水短裤</x:v>
      </x:c>
      <x:c r="E10" s="9" t="str">
        <x:v>ANNA SUI/安娜苏</x:v>
      </x:c>
      <x:c r="F10" s="9" t="str">
        <x:v>短裤</x:v>
      </x:c>
      <x:c r="G10" s="9" t="str">
        <x:v>运动短裤</x:v>
      </x:c>
      <x:c r="H10" s="24" t="n">
        <x:v>1428</x:v>
      </x:c>
      <x:c r="I10" s="25" t="e">
        <x:f>HYPERLINK("https://item.taobao.com/item.htm?id=911210726488","打开商品")</x:f>
        <x:v>HYPERLINK is not implemented. linkLocation=https://item.taobao.com/item.htm?id=911210726488, friendlyName=打开商品</x:v>
      </x:c>
      <x:c r="J10" s="25" t="e">
        <x:f>HYPERLINK("https://data.zhiyitech.cn/itemDetail/overview/base?itemId=911210726488","打开知衣")</x:f>
        <x:v>HYPERLINK is not implemented. linkLocation=https://data.zhiyitech.cn/itemDetail/overview/base?itemId=911210726488, friendlyName=打开知衣</x:v>
      </x:c>
      <x:c r="K10" s="25" t="e">
        <x:f>HYPERLINK("https://img.alicdn.com/bao/uploaded/i2/2200697069868/O1CN01GgwncL2MlbQSwghIf_!!4611686018427380012-0-item_pic.jpg","查看主图")</x:f>
        <x:v>HYPERLINK is not implemented. linkLocation=https://img.alicdn.com/bao/uploaded/i2/2200697069868/O1CN01GgwncL2MlbQSwghIf_!!4611686018427380012-0-item_pic.jpg, friendlyName=查看主图</x:v>
      </x:c>
      <x:c r="L10" s="9" t="str">
        <x:v>无明确性别信息</x:v>
      </x:c>
      <x:c r="M10" s="9" t="str">
        <x:v>运动下装</x:v>
      </x:c>
      <x:c r="N10" s="9" t="str">
        <x:v>排行榜_商品榜_销售额榜_热销_运动服_休闲服装-运休闲服装-跑步短裤_2025-11-01_2026-10-31 (6).xlsx</x:v>
      </x:c>
      <x:c r="O10" s="9" t="str">
        <x:v>默认</x:v>
      </x:c>
      <x:c r="P10" s="9" t="n">
        <x:v>79</x:v>
      </x:c>
      <x:c r="Q10" s="9" t="str">
        <x:v>51c5baf852346f6326f6a242f8205ac9db74e4145a36be5e01e3352750e8cecc</x:v>
      </x:c>
      <x:c r="R10" s="9" t="str">
        <x:v>MIX_SPORT_AVGPAID_1400_1500_ANNUAL2026</x:v>
      </x:c>
      <x:c r="S10" s="9" t="str">
        <x:v>排行榜_商品榜_销售额榜_热销_运动服_休闲服装-运休闲服装-跑步短裤_2025-11-01_2026-10-31 (6).xlsx / 默认 / 第79行 / SHA256 51c5baf852346f6326f6a242f8205ac9db74e4145a36be5e01e3352750e8cecc</x:v>
      </x:c>
    </x:row>
    <x:row r="11" ht="58" customHeight="1">
      <x:c r="A11" s="23" t="str">
        <x:v>923666273796</x:v>
      </x:c>
      <x:c r="B11" s="22"/>
      <x:c r="C11" s="22"/>
      <x:c r="D11" s="9" t="str">
        <x:v>安娜苏运动复古蕾丝高腰短裤</x:v>
      </x:c>
      <x:c r="E11" s="9" t="str">
        <x:v>ANNA SUI/安娜苏</x:v>
      </x:c>
      <x:c r="F11" s="9" t="str">
        <x:v>短裤</x:v>
      </x:c>
      <x:c r="G11" s="9" t="str">
        <x:v>运动短裤</x:v>
      </x:c>
      <x:c r="H11" s="24" t="n">
        <x:v>1593.75</x:v>
      </x:c>
      <x:c r="I11" s="25" t="e">
        <x:f>HYPERLINK("https://item.taobao.com/item.htm?id=923666273796","打开商品")</x:f>
        <x:v>HYPERLINK is not implemented. linkLocation=https://item.taobao.com/item.htm?id=923666273796, friendlyName=打开商品</x:v>
      </x:c>
      <x:c r="J11" s="25" t="e">
        <x:f>HYPERLINK("https://data.zhiyitech.cn/itemDetail/overview/base?itemId=923666273796","打开知衣")</x:f>
        <x:v>HYPERLINK is not implemented. linkLocation=https://data.zhiyitech.cn/itemDetail/overview/base?itemId=923666273796, friendlyName=打开知衣</x:v>
      </x:c>
      <x:c r="K11" s="25" t="e">
        <x:f>HYPERLINK("https://img.alicdn.com/bao/uploaded/i4/2200697069868/O1CN01vpeswb2MlbQv28DvV_!!4611686018427380012-0-item_pic.jpg","查看主图")</x:f>
        <x:v>HYPERLINK is not implemented. linkLocation=https://img.alicdn.com/bao/uploaded/i4/2200697069868/O1CN01vpeswb2MlbQv28DvV_!!4611686018427380012-0-item_pic.jpg, friendlyName=查看主图</x:v>
      </x:c>
      <x:c r="L11" s="9" t="str">
        <x:v>无明确性别信息</x:v>
      </x:c>
      <x:c r="M11" s="9" t="str">
        <x:v>运动下装</x:v>
      </x:c>
      <x:c r="N11" s="9" t="str">
        <x:v>排行榜_商品榜_销售额榜_热销_运动服_休闲服装-运休闲服装-跑步短裤_2025-11-01_2026-10-31 (5).xlsx</x:v>
      </x:c>
      <x:c r="O11" s="9" t="str">
        <x:v>默认</x:v>
      </x:c>
      <x:c r="P11" s="9" t="n">
        <x:v>87</x:v>
      </x:c>
      <x:c r="Q11" s="9" t="str">
        <x:v>9ad7424665e3f8b592ed8cec3e99707eea5b9bd2316d324ab5977c56b4039ec9</x:v>
      </x:c>
      <x:c r="R11" s="9" t="str">
        <x:v>MIX_SPORT_AVGPAID_1500_1600_ANNUAL2026</x:v>
      </x:c>
      <x:c r="S11" s="9" t="str">
        <x:v>排行榜_商品榜_销售额榜_热销_运动服_休闲服装-运休闲服装-跑步短裤_2025-11-01_2026-10-31 (5).xlsx / 默认 / 第87行 / SHA256 9ad7424665e3f8b592ed8cec3e99707eea5b9bd2316d324ab5977c56b4039ec9</x:v>
      </x:c>
    </x:row>
    <x:row r="12" ht="58" customHeight="1">
      <x:c r="A12" s="23" t="str">
        <x:v>1038549554490</x:v>
      </x:c>
      <x:c r="B12" s="22"/>
      <x:c r="C12" s="22"/>
      <x:c r="D12" s="9" t="str">
        <x:v>DESCENTE迪桑特ALLTERRAIN系列梭织短裤</x:v>
      </x:c>
      <x:c r="E12" s="9" t="str">
        <x:v>DESCENTE/迪桑特</x:v>
      </x:c>
      <x:c r="F12" s="9" t="str">
        <x:v>短裤</x:v>
      </x:c>
      <x:c r="G12" s="9" t="str">
        <x:v>运动短裤</x:v>
      </x:c>
      <x:c r="H12" s="24" t="n">
        <x:v>1719.05</x:v>
      </x:c>
      <x:c r="I12" s="25" t="e">
        <x:f>HYPERLINK("https://item.taobao.com/item.htm?id=1038549554490","打开商品")</x:f>
        <x:v>HYPERLINK is not implemented. linkLocation=https://item.taobao.com/item.htm?id=1038549554490, friendlyName=打开商品</x:v>
      </x:c>
      <x:c r="J12" s="25" t="e">
        <x:f>HYPERLINK("https://data.zhiyitech.cn/itemDetail/overview/base?itemId=1038549554490","打开知衣")</x:f>
        <x:v>HYPERLINK is not implemented. linkLocation=https://data.zhiyitech.cn/itemDetail/overview/base?itemId=1038549554490, friendlyName=打开知衣</x:v>
      </x:c>
      <x:c r="K12" s="25" t="e">
        <x:f>HYPERLINK("https://img.alicdn.com/bao/uploaded/i2/3299471109/O1CN010FBuWOS4TBE43lmS_!!4611686018427383557-0-item_pic.jpg","查看主图")</x:f>
        <x:v>HYPERLINK is not implemented. linkLocation=https://img.alicdn.com/bao/uploaded/i2/3299471109/O1CN010FBuWOS4TBE43lmS_!!4611686018427383557-0-item_pic.jpg, friendlyName=查看主图</x:v>
      </x:c>
      <x:c r="L12" s="9" t="str">
        <x:v>无明确性别信息</x:v>
      </x:c>
      <x:c r="M12" s="9" t="str">
        <x:v>运动下装</x:v>
      </x:c>
      <x:c r="N12" s="9" t="str">
        <x:v>排行榜_商品榜_销售额榜_热销_运动服_休闲服装-运休闲服装-跑步短裤_2025-11-01_2026-10-31 (3).xlsx</x:v>
      </x:c>
      <x:c r="O12" s="9" t="str">
        <x:v>默认</x:v>
      </x:c>
      <x:c r="P12" s="9" t="n">
        <x:v>20</x:v>
      </x:c>
      <x:c r="Q12" s="9" t="str">
        <x:v>75c32f8ec048c7ff6d1862fee5bc8a3793f270522255a1b54f34ebdea84168ec</x:v>
      </x:c>
      <x:c r="R12" s="9" t="str">
        <x:v>MIX_SPORT_AVGPAID_1700_1800_ANNUAL2026</x:v>
      </x:c>
      <x:c r="S12" s="9" t="str">
        <x:v>排行榜_商品榜_销售额榜_热销_运动服_休闲服装-运休闲服装-跑步短裤_2025-11-01_2026-10-31 (3).xlsx / 默认 / 第20行 / SHA256 75c32f8ec048c7ff6d1862fee5bc8a3793f270522255a1b54f34ebdea84168ec</x:v>
      </x:c>
    </x:row>
    <x:row r="13" ht="58" customHeight="1">
      <x:c r="A13" s="23" t="str">
        <x:v>1038549670814</x:v>
      </x:c>
      <x:c r="B13" s="22"/>
      <x:c r="C13" s="22"/>
      <x:c r="D13" s="9" t="str">
        <x:v>DESCENTEBLANC迪桑特ALLTERRAIN系列无缝梭织短裤</x:v>
      </x:c>
      <x:c r="E13" s="9" t="str">
        <x:v>DESCENTE/迪桑特</x:v>
      </x:c>
      <x:c r="F13" s="9" t="str">
        <x:v>短裤</x:v>
      </x:c>
      <x:c r="G13" s="9" t="str">
        <x:v>运动短裤</x:v>
      </x:c>
      <x:c r="H13" s="24" t="n">
        <x:v>1724.49</x:v>
      </x:c>
      <x:c r="I13" s="25" t="e">
        <x:f>HYPERLINK("https://item.taobao.com/item.htm?id=1038549670814","打开商品")</x:f>
        <x:v>HYPERLINK is not implemented. linkLocation=https://item.taobao.com/item.htm?id=1038549670814, friendlyName=打开商品</x:v>
      </x:c>
      <x:c r="J13" s="25" t="e">
        <x:f>HYPERLINK("https://data.zhiyitech.cn/itemDetail/overview/base?itemId=1038549670814","打开知衣")</x:f>
        <x:v>HYPERLINK is not implemented. linkLocation=https://data.zhiyitech.cn/itemDetail/overview/base?itemId=1038549670814, friendlyName=打开知衣</x:v>
      </x:c>
      <x:c r="K13" s="25" t="e">
        <x:f>HYPERLINK("https://img.alicdn.com/bao/uploaded/i2/2219286696309/O1CN01eR9Lat1wTZuWjipXt_!!4611686018427384181-0-item_pic.jpg","查看主图")</x:f>
        <x:v>HYPERLINK is not implemented. linkLocation=https://img.alicdn.com/bao/uploaded/i2/2219286696309/O1CN01eR9Lat1wTZuWjipXt_!!4611686018427384181-0-item_pic.jpg, friendlyName=查看主图</x:v>
      </x:c>
      <x:c r="L13" s="9" t="str">
        <x:v>无明确性别信息</x:v>
      </x:c>
      <x:c r="M13" s="9" t="str">
        <x:v>运动下装</x:v>
      </x:c>
      <x:c r="N13" s="9" t="str">
        <x:v>排行榜_商品榜_销售额榜_热销_运动服_休闲服装-运休闲服装-跑步短裤_2025-11-01_2026-10-31 (3).xlsx</x:v>
      </x:c>
      <x:c r="O13" s="9" t="str">
        <x:v>默认</x:v>
      </x:c>
      <x:c r="P13" s="9" t="n">
        <x:v>18</x:v>
      </x:c>
      <x:c r="Q13" s="9" t="str">
        <x:v>75c32f8ec048c7ff6d1862fee5bc8a3793f270522255a1b54f34ebdea84168ec</x:v>
      </x:c>
      <x:c r="R13" s="9" t="str">
        <x:v>MIX_SPORT_AVGPAID_1700_1800_ANNUAL2026</x:v>
      </x:c>
      <x:c r="S13" s="9" t="str">
        <x:v>排行榜_商品榜_销售额榜_热销_运动服_休闲服装-运休闲服装-跑步短裤_2025-11-01_2026-10-31 (3).xlsx / 默认 / 第18行 / SHA256 75c32f8ec048c7ff6d1862fee5bc8a3793f270522255a1b54f34ebdea84168ec</x:v>
      </x:c>
    </x:row>
    <x:row r="14" ht="58" customHeight="1">
      <x:c r="A14" s="23" t="str">
        <x:v>1040344520107</x:v>
      </x:c>
      <x:c r="B14" s="22"/>
      <x:c r="C14" s="22"/>
      <x:c r="D14" s="9" t="str">
        <x:v>DESCENTE迪桑特ALLTERRAIN 81系列轻量可打包防泼水短裤</x:v>
      </x:c>
      <x:c r="E14" s="9" t="str">
        <x:v>DESCENTE/迪桑特</x:v>
      </x:c>
      <x:c r="F14" s="9" t="str">
        <x:v>短裤</x:v>
      </x:c>
      <x:c r="G14" s="9" t="str">
        <x:v>运动短裤</x:v>
      </x:c>
      <x:c r="H14" s="24" t="n">
        <x:v>1128.62</x:v>
      </x:c>
      <x:c r="I14" s="25" t="e">
        <x:f>HYPERLINK("https://item.taobao.com/item.htm?id=1040344520107","打开商品")</x:f>
        <x:v>HYPERLINK is not implemented. linkLocation=https://item.taobao.com/item.htm?id=1040344520107, friendlyName=打开商品</x:v>
      </x:c>
      <x:c r="J14" s="25" t="e">
        <x:f>HYPERLINK("https://data.zhiyitech.cn/itemDetail/overview/base?itemId=1040344520107","打开知衣")</x:f>
        <x:v>HYPERLINK is not implemented. linkLocation=https://data.zhiyitech.cn/itemDetail/overview/base?itemId=1040344520107, friendlyName=打开知衣</x:v>
      </x:c>
      <x:c r="K14" s="25" t="e">
        <x:f>HYPERLINK("https://img.alicdn.com/bao/uploaded/i2/3299471109/O1CN01J7oHPvoulDI43lmS_!!4611686018427383557-0-item_pic.jpg","查看主图")</x:f>
        <x:v>HYPERLINK is not implemented. linkLocation=https://img.alicdn.com/bao/uploaded/i2/3299471109/O1CN01J7oHPvoulDI43lmS_!!4611686018427383557-0-item_pic.jpg, friendlyName=查看主图</x:v>
      </x:c>
      <x:c r="L14" s="9" t="str">
        <x:v>无明确性别信息</x:v>
      </x:c>
      <x:c r="M14" s="9" t="str">
        <x:v>运动下装</x:v>
      </x:c>
      <x:c r="N14" s="9" t="str">
        <x:v>排行榜_商品榜_销售额榜_热销_运动服_休闲服装-运休闲服装-跑步短裤_2025-11-01_2026-10-31 (9).xlsx</x:v>
      </x:c>
      <x:c r="O14" s="9" t="str">
        <x:v>默认</x:v>
      </x:c>
      <x:c r="P14" s="9" t="n">
        <x:v>180</x:v>
      </x:c>
      <x:c r="Q14" s="9" t="str">
        <x:v>bf4c13b761e645dc5b709fecfe2eba562c597469bada8d60d13514dd26d590ba</x:v>
      </x:c>
      <x:c r="R14" s="9" t="str">
        <x:v>MIX_SPORT_AVGPAID_1100_1200_ANNUAL2026</x:v>
      </x:c>
      <x:c r="S14" s="9" t="str">
        <x:v>排行榜_商品榜_销售额榜_热销_运动服_休闲服装-运休闲服装-跑步短裤_2025-11-01_2026-10-31 (9).xlsx / 默认 / 第180行 / SHA256 bf4c13b761e645dc5b709fecfe2eba562c597469bada8d60d13514dd26d590ba</x:v>
      </x:c>
    </x:row>
    <x:row r="15" ht="58" customHeight="1">
      <x:c r="A15" s="23" t="str">
        <x:v>1044017305863</x:v>
      </x:c>
      <x:c r="B15" s="22"/>
      <x:c r="C15" s="22"/>
      <x:c r="D15" s="9" t="str">
        <x:v>DESCENTEBLANC迪桑特ALLTERRAIN I/O系列都市机能SOLOTEX工装短裤</x:v>
      </x:c>
      <x:c r="E15" s="9" t="str">
        <x:v>DESCENTE/迪桑特</x:v>
      </x:c>
      <x:c r="F15" s="9" t="str">
        <x:v>短裤</x:v>
      </x:c>
      <x:c r="G15" s="9" t="str">
        <x:v>运动短裤</x:v>
      </x:c>
      <x:c r="H15" s="24" t="n">
        <x:v>1328.16</x:v>
      </x:c>
      <x:c r="I15" s="25" t="e">
        <x:f>HYPERLINK("https://item.taobao.com/item.htm?id=1044017305863","打开商品")</x:f>
        <x:v>HYPERLINK is not implemented. linkLocation=https://item.taobao.com/item.htm?id=1044017305863, friendlyName=打开商品</x:v>
      </x:c>
      <x:c r="J15" s="25" t="e">
        <x:f>HYPERLINK("https://data.zhiyitech.cn/itemDetail/overview/base?itemId=1044017305863","打开知衣")</x:f>
        <x:v>HYPERLINK is not implemented. linkLocation=https://data.zhiyitech.cn/itemDetail/overview/base?itemId=1044017305863, friendlyName=打开知衣</x:v>
      </x:c>
      <x:c r="K15" s="25" t="e">
        <x:f>HYPERLINK("https://img.alicdn.com/bao/uploaded/i4/2219286696309/O1CN01N2eQPbUGkLL43lmS_!!4611686018427384181-0-item_pic.jpg","查看主图")</x:f>
        <x:v>HYPERLINK is not implemented. linkLocation=https://img.alicdn.com/bao/uploaded/i4/2219286696309/O1CN01N2eQPbUGkLL43lmS_!!4611686018427384181-0-item_pic.jpg, friendlyName=查看主图</x:v>
      </x:c>
      <x:c r="L15" s="9" t="str">
        <x:v>无明确性别信息</x:v>
      </x:c>
      <x:c r="M15" s="9" t="str">
        <x:v>运动下装</x:v>
      </x:c>
      <x:c r="N15" s="9" t="str">
        <x:v>排行榜_商品榜_销售额榜_热销_运动服_休闲服装-运休闲服装-跑步短裤_2025-11-01_2026-10-31 (7).xlsx</x:v>
      </x:c>
      <x:c r="O15" s="9" t="str">
        <x:v>默认</x:v>
      </x:c>
      <x:c r="P15" s="9" t="n">
        <x:v>53</x:v>
      </x:c>
      <x:c r="Q15" s="9" t="str">
        <x:v>b4959cd74b14f4314b9473c91799b973e0b2ff209bedfdac04b6266e6a5d9ce9</x:v>
      </x:c>
      <x:c r="R15" s="9" t="str">
        <x:v>MIX_SPORT_AVGPAID_1300_1400_ANNUAL2026</x:v>
      </x:c>
      <x:c r="S15" s="9" t="str">
        <x:v>排行榜_商品榜_销售额榜_热销_运动服_休闲服装-运休闲服装-跑步短裤_2025-11-01_2026-10-31 (7).xlsx / 默认 / 第53行 / SHA256 b4959cd74b14f4314b9473c91799b973e0b2ff209bedfdac04b6266e6a5d9ce9</x:v>
      </x:c>
    </x:row>
    <x:row r="16" ht="58" customHeight="1">
      <x:c r="A16" s="23" t="str">
        <x:v>1044920847946</x:v>
      </x:c>
      <x:c r="B16" s="22"/>
      <x:c r="C16" s="22"/>
      <x:c r="D16" s="9" t="str">
        <x:v>DESCENTEBLANC迪桑特ALLTERRAIN 81系列宽松格纹短裤</x:v>
      </x:c>
      <x:c r="E16" s="9" t="str">
        <x:v>DESCENTE/迪桑特</x:v>
      </x:c>
      <x:c r="F16" s="9" t="str">
        <x:v>短裤</x:v>
      </x:c>
      <x:c r="G16" s="9" t="str">
        <x:v>运动短裤</x:v>
      </x:c>
      <x:c r="H16" s="24" t="n">
        <x:v>1134.54</x:v>
      </x:c>
      <x:c r="I16" s="25" t="e">
        <x:f>HYPERLINK("https://item.taobao.com/item.htm?id=1044920847946","打开商品")</x:f>
        <x:v>HYPERLINK is not implemented. linkLocation=https://item.taobao.com/item.htm?id=1044920847946, friendlyName=打开商品</x:v>
      </x:c>
      <x:c r="J16" s="25" t="e">
        <x:f>HYPERLINK("https://data.zhiyitech.cn/itemDetail/overview/base?itemId=1044920847946","打开知衣")</x:f>
        <x:v>HYPERLINK is not implemented. linkLocation=https://data.zhiyitech.cn/itemDetail/overview/base?itemId=1044920847946, friendlyName=打开知衣</x:v>
      </x:c>
      <x:c r="K16" s="25" t="e">
        <x:f>HYPERLINK("https://img.alicdn.com/bao/uploaded/i3/2219286696309/O1CN01AxwehTldC7L43lmS_!!4611686018427384181-0-item_pic.jpg","查看主图")</x:f>
        <x:v>HYPERLINK is not implemented. linkLocation=https://img.alicdn.com/bao/uploaded/i3/2219286696309/O1CN01AxwehTldC7L43lmS_!!4611686018427384181-0-item_pic.jpg, friendlyName=查看主图</x:v>
      </x:c>
      <x:c r="L16" s="9" t="str">
        <x:v>无明确性别信息</x:v>
      </x:c>
      <x:c r="M16" s="9" t="str">
        <x:v>运动下装</x:v>
      </x:c>
      <x:c r="N16" s="9" t="str">
        <x:v>排行榜_商品榜_销售额榜_热销_运动服_休闲服装-运休闲服装-跑步短裤_2025-11-01_2026-10-31 (9).xlsx</x:v>
      </x:c>
      <x:c r="O16" s="9" t="str">
        <x:v>默认</x:v>
      </x:c>
      <x:c r="P16" s="9" t="n">
        <x:v>94</x:v>
      </x:c>
      <x:c r="Q16" s="9" t="str">
        <x:v>bf4c13b761e645dc5b709fecfe2eba562c597469bada8d60d13514dd26d590ba</x:v>
      </x:c>
      <x:c r="R16" s="9" t="str">
        <x:v>MIX_SPORT_AVGPAID_1100_1200_ANNUAL2026</x:v>
      </x:c>
      <x:c r="S16" s="9" t="str">
        <x:v>排行榜_商品榜_销售额榜_热销_运动服_休闲服装-运休闲服装-跑步短裤_2025-11-01_2026-10-31 (9).xlsx / 默认 / 第94行 / SHA256 bf4c13b761e645dc5b709fecfe2eba562c597469bada8d60d13514dd26d590ba</x:v>
      </x:c>
    </x:row>
    <x:row r="17" ht="58" customHeight="1">
      <x:c r="A17" s="23" t="str">
        <x:v>1045168227904</x:v>
      </x:c>
      <x:c r="B17" s="22"/>
      <x:c r="C17" s="22"/>
      <x:c r="D17" s="9" t="str">
        <x:v>DESCENTE迪桑特ALLTERRAIN 81系列工装风尼龙短裤</x:v>
      </x:c>
      <x:c r="E17" s="9" t="str">
        <x:v>DESCENTE/迪桑特</x:v>
      </x:c>
      <x:c r="F17" s="9" t="str">
        <x:v>短裤</x:v>
      </x:c>
      <x:c r="G17" s="9" t="str">
        <x:v>运动短裤</x:v>
      </x:c>
      <x:c r="H17" s="24" t="n">
        <x:v>1511.36</x:v>
      </x:c>
      <x:c r="I17" s="25" t="e">
        <x:f>HYPERLINK("https://item.taobao.com/item.htm?id=1045168227904","打开商品")</x:f>
        <x:v>HYPERLINK is not implemented. linkLocation=https://item.taobao.com/item.htm?id=1045168227904, friendlyName=打开商品</x:v>
      </x:c>
      <x:c r="J17" s="25" t="e">
        <x:f>HYPERLINK("https://data.zhiyitech.cn/itemDetail/overview/base?itemId=1045168227904","打开知衣")</x:f>
        <x:v>HYPERLINK is not implemented. linkLocation=https://data.zhiyitech.cn/itemDetail/overview/base?itemId=1045168227904, friendlyName=打开知衣</x:v>
      </x:c>
      <x:c r="K17" s="25" t="e">
        <x:f>HYPERLINK("https://img.alicdn.com/bao/uploaded/i2/3299471109/O1CN01pRbaK41K3yO4SSy0l_!!4611686018427383557-0-item_pic.jpg","查看主图")</x:f>
        <x:v>HYPERLINK is not implemented. linkLocation=https://img.alicdn.com/bao/uploaded/i2/3299471109/O1CN01pRbaK41K3yO4SSy0l_!!4611686018427383557-0-item_pic.jpg, friendlyName=查看主图</x:v>
      </x:c>
      <x:c r="L17" s="9" t="str">
        <x:v>无明确性别信息</x:v>
      </x:c>
      <x:c r="M17" s="9" t="str">
        <x:v>运动下装</x:v>
      </x:c>
      <x:c r="N17" s="9" t="str">
        <x:v>排行榜_商品榜_销售额榜_热销_运动服_休闲服装-运休闲服装-跑步短裤_2025-11-01_2026-10-31 (5).xlsx</x:v>
      </x:c>
      <x:c r="O17" s="9" t="str">
        <x:v>默认</x:v>
      </x:c>
      <x:c r="P17" s="9" t="n">
        <x:v>51</x:v>
      </x:c>
      <x:c r="Q17" s="9" t="str">
        <x:v>9ad7424665e3f8b592ed8cec3e99707eea5b9bd2316d324ab5977c56b4039ec9</x:v>
      </x:c>
      <x:c r="R17" s="9" t="str">
        <x:v>MIX_SPORT_AVGPAID_1500_1600_ANNUAL2026</x:v>
      </x:c>
      <x:c r="S17" s="9" t="str">
        <x:v>排行榜_商品榜_销售额榜_热销_运动服_休闲服装-运休闲服装-跑步短裤_2025-11-01_2026-10-31 (5).xlsx / 默认 / 第51行 / SHA256 9ad7424665e3f8b592ed8cec3e99707eea5b9bd2316d324ab5977c56b4039ec9</x:v>
      </x:c>
    </x:row>
    <x:row r="18" ht="58" customHeight="1">
      <x:c r="A18" s="23" t="str">
        <x:v>1045664390478</x:v>
      </x:c>
      <x:c r="B18" s="22"/>
      <x:c r="C18" s="22"/>
      <x:c r="D18" s="9" t="str">
        <x:v>DESCENTE迪桑特ALLTERRAIN 81系列宽松格纹短裤</x:v>
      </x:c>
      <x:c r="E18" s="9" t="str">
        <x:v>DESCENTE/迪桑特</x:v>
      </x:c>
      <x:c r="F18" s="9" t="str">
        <x:v>短裤</x:v>
      </x:c>
      <x:c r="G18" s="9" t="str">
        <x:v>运动短裤</x:v>
      </x:c>
      <x:c r="H18" s="24" t="n">
        <x:v>1114.92</x:v>
      </x:c>
      <x:c r="I18" s="25" t="e">
        <x:f>HYPERLINK("https://item.taobao.com/item.htm?id=1045664390478","打开商品")</x:f>
        <x:v>HYPERLINK is not implemented. linkLocation=https://item.taobao.com/item.htm?id=1045664390478, friendlyName=打开商品</x:v>
      </x:c>
      <x:c r="J18" s="25" t="e">
        <x:f>HYPERLINK("https://data.zhiyitech.cn/itemDetail/overview/base?itemId=1045664390478","打开知衣")</x:f>
        <x:v>HYPERLINK is not implemented. linkLocation=https://data.zhiyitech.cn/itemDetail/overview/base?itemId=1045664390478, friendlyName=打开知衣</x:v>
      </x:c>
      <x:c r="K18" s="25" t="e">
        <x:f>HYPERLINK("https://img.alicdn.com/bao/uploaded/i2/3299471109/O1CN01hnyTeoUMVkD43lmS_!!4611686018427383557-0-item_pic.jpg","查看主图")</x:f>
        <x:v>HYPERLINK is not implemented. linkLocation=https://img.alicdn.com/bao/uploaded/i2/3299471109/O1CN01hnyTeoUMVkD43lmS_!!4611686018427383557-0-item_pic.jpg, friendlyName=查看主图</x:v>
      </x:c>
      <x:c r="L18" s="9" t="str">
        <x:v>无明确性别信息</x:v>
      </x:c>
      <x:c r="M18" s="9" t="str">
        <x:v>运动下装</x:v>
      </x:c>
      <x:c r="N18" s="9" t="str">
        <x:v>排行榜_商品榜_销售额榜_热销_运动服_休闲服装-运休闲服装-跑步短裤_2025-11-01_2026-10-31 (9).xlsx</x:v>
      </x:c>
      <x:c r="O18" s="9" t="str">
        <x:v>默认</x:v>
      </x:c>
      <x:c r="P18" s="9" t="n">
        <x:v>155</x:v>
      </x:c>
      <x:c r="Q18" s="9" t="str">
        <x:v>bf4c13b761e645dc5b709fecfe2eba562c597469bada8d60d13514dd26d590ba</x:v>
      </x:c>
      <x:c r="R18" s="9" t="str">
        <x:v>MIX_SPORT_AVGPAID_1100_1200_ANNUAL2026</x:v>
      </x:c>
      <x:c r="S18" s="9" t="str">
        <x:v>排行榜_商品榜_销售额榜_热销_运动服_休闲服装-运休闲服装-跑步短裤_2025-11-01_2026-10-31 (9).xlsx / 默认 / 第155行 / SHA256 bf4c13b761e645dc5b709fecfe2eba562c597469bada8d60d13514dd26d590ba</x:v>
      </x:c>
    </x:row>
    <x:row r="19" ht="58" customHeight="1">
      <x:c r="A19" s="23" t="str">
        <x:v>1045911010851</x:v>
      </x:c>
      <x:c r="B19" s="22"/>
      <x:c r="C19" s="22"/>
      <x:c r="D19" s="9" t="str">
        <x:v>DESCENTEBLANC迪桑特ALLTERRAIN 81系列工装风尼龙短裤</x:v>
      </x:c>
      <x:c r="E19" s="9" t="str">
        <x:v>DESCENTE/迪桑特</x:v>
      </x:c>
      <x:c r="F19" s="9" t="str">
        <x:v>短裤</x:v>
      </x:c>
      <x:c r="G19" s="9" t="str">
        <x:v>运动短裤</x:v>
      </x:c>
      <x:c r="H19" s="24" t="n">
        <x:v>1515.1</x:v>
      </x:c>
      <x:c r="I19" s="25" t="e">
        <x:f>HYPERLINK("https://item.taobao.com/item.htm?id=1045911010851","打开商品")</x:f>
        <x:v>HYPERLINK is not implemented. linkLocation=https://item.taobao.com/item.htm?id=1045911010851, friendlyName=打开商品</x:v>
      </x:c>
      <x:c r="J19" s="25" t="e">
        <x:f>HYPERLINK("https://data.zhiyitech.cn/itemDetail/overview/base?itemId=1045911010851","打开知衣")</x:f>
        <x:v>HYPERLINK is not implemented. linkLocation=https://data.zhiyitech.cn/itemDetail/overview/base?itemId=1045911010851, friendlyName=打开知衣</x:v>
      </x:c>
      <x:c r="K19" s="25" t="e">
        <x:f>HYPERLINK("https://img.alicdn.com/bao/uploaded/i4/2219286696309/O1CN0155Ae8pTCCkE43lmS_!!4611686018427384181-0-item_pic.jpg","查看主图")</x:f>
        <x:v>HYPERLINK is not implemented. linkLocation=https://img.alicdn.com/bao/uploaded/i4/2219286696309/O1CN0155Ae8pTCCkE43lmS_!!4611686018427384181-0-item_pic.jpg, friendlyName=查看主图</x:v>
      </x:c>
      <x:c r="L19" s="9" t="str">
        <x:v>无明确性别信息</x:v>
      </x:c>
      <x:c r="M19" s="9" t="str">
        <x:v>运动下装</x:v>
      </x:c>
      <x:c r="N19" s="9" t="str">
        <x:v>排行榜_商品榜_销售额榜_热销_运动服_休闲服装-运休闲服装-跑步短裤_2025-11-01_2026-10-31 (5).xlsx</x:v>
      </x:c>
      <x:c r="O19" s="9" t="str">
        <x:v>默认</x:v>
      </x:c>
      <x:c r="P19" s="9" t="n">
        <x:v>37</x:v>
      </x:c>
      <x:c r="Q19" s="9" t="str">
        <x:v>9ad7424665e3f8b592ed8cec3e99707eea5b9bd2316d324ab5977c56b4039ec9</x:v>
      </x:c>
      <x:c r="R19" s="9" t="str">
        <x:v>MIX_SPORT_AVGPAID_1500_1600_ANNUAL2026</x:v>
      </x:c>
      <x:c r="S19" s="9" t="str">
        <x:v>排行榜_商品榜_销售额榜_热销_运动服_休闲服装-运休闲服装-跑步短裤_2025-11-01_2026-10-31 (5).xlsx / 默认 / 第37行 / SHA256 9ad7424665e3f8b592ed8cec3e99707eea5b9bd2316d324ab5977c56b4039ec9</x:v>
      </x:c>
    </x:row>
    <x:row r="20" ht="58" customHeight="1">
      <x:c r="A20" s="23" t="str">
        <x:v>1054903711017</x:v>
      </x:c>
      <x:c r="B20" s="22"/>
      <x:c r="C20" s="22"/>
      <x:c r="D20" s="9" t="str">
        <x:v>DESCENTEBLANC迪桑特ALLTERRAIN 81系列轻量工装短裤</x:v>
      </x:c>
      <x:c r="E20" s="9" t="str">
        <x:v>DESCENTE/迪桑特</x:v>
      </x:c>
      <x:c r="F20" s="9" t="str">
        <x:v>短裤</x:v>
      </x:c>
      <x:c r="G20" s="9" t="str">
        <x:v>运动短裤</x:v>
      </x:c>
      <x:c r="H20" s="24" t="n">
        <x:v>1144.45</x:v>
      </x:c>
      <x:c r="I20" s="25" t="e">
        <x:f>HYPERLINK("https://item.taobao.com/item.htm?id=1054903711017","打开商品")</x:f>
        <x:v>HYPERLINK is not implemented. linkLocation=https://item.taobao.com/item.htm?id=1054903711017, friendlyName=打开商品</x:v>
      </x:c>
      <x:c r="J20" s="25" t="e">
        <x:f>HYPERLINK("https://data.zhiyitech.cn/itemDetail/overview/base?itemId=1054903711017","打开知衣")</x:f>
        <x:v>HYPERLINK is not implemented. linkLocation=https://data.zhiyitech.cn/itemDetail/overview/base?itemId=1054903711017, friendlyName=打开知衣</x:v>
      </x:c>
      <x:c r="K20" s="25" t="e">
        <x:f>HYPERLINK("https://img.alicdn.com/bao/uploaded/i2/2219286696309/O1CN01ghZVzqgw4pC43lmS_!!4611686018427384181-0-item_pic.jpg","查看主图")</x:f>
        <x:v>HYPERLINK is not implemented. linkLocation=https://img.alicdn.com/bao/uploaded/i2/2219286696309/O1CN01ghZVzqgw4pC43lmS_!!4611686018427384181-0-item_pic.jpg, friendlyName=查看主图</x:v>
      </x:c>
      <x:c r="L20" s="9" t="str">
        <x:v>无明确性别信息</x:v>
      </x:c>
      <x:c r="M20" s="9" t="str">
        <x:v>运动下装</x:v>
      </x:c>
      <x:c r="N20" s="9" t="str">
        <x:v>排行榜_商品榜_销售额榜_热销_运动服_休闲服装-运休闲服装-跑步短裤_2025-11-01_2026-10-31 (9).xlsx</x:v>
      </x:c>
      <x:c r="O20" s="9" t="str">
        <x:v>默认</x:v>
      </x:c>
      <x:c r="P20" s="9" t="n">
        <x:v>161</x:v>
      </x:c>
      <x:c r="Q20" s="9" t="str">
        <x:v>bf4c13b761e645dc5b709fecfe2eba562c597469bada8d60d13514dd26d590ba</x:v>
      </x:c>
      <x:c r="R20" s="9" t="str">
        <x:v>MIX_SPORT_AVGPAID_1100_1200_ANNUAL2026</x:v>
      </x:c>
      <x:c r="S20" s="9" t="str">
        <x:v>排行榜_商品榜_销售额榜_热销_运动服_休闲服装-运休闲服装-跑步短裤_2025-11-01_2026-10-31 (9).xlsx / 默认 / 第161行 / SHA256 bf4c13b761e645dc5b709fecfe2eba562c597469bada8d60d13514dd26d590ba</x:v>
      </x:c>
    </x:row>
    <x:row r="21" ht="58" customHeight="1">
      <x:c r="A21" s="23" t="str">
        <x:v>1055158879074</x:v>
      </x:c>
      <x:c r="B21" s="22"/>
      <x:c r="C21" s="22"/>
      <x:c r="D21" s="9" t="str">
        <x:v>DESCENTEBLANC迪桑特ALLTERRAIN I/O系列亚麻质感短裤</x:v>
      </x:c>
      <x:c r="E21" s="9" t="str">
        <x:v>DESCENTE/迪桑特</x:v>
      </x:c>
      <x:c r="F21" s="9" t="str">
        <x:v>短裤</x:v>
      </x:c>
      <x:c r="G21" s="9" t="str">
        <x:v>运动短裤</x:v>
      </x:c>
      <x:c r="H21" s="24" t="n">
        <x:v>1317.71</x:v>
      </x:c>
      <x:c r="I21" s="25" t="e">
        <x:f>HYPERLINK("https://item.taobao.com/item.htm?id=1055158879074","打开商品")</x:f>
        <x:v>HYPERLINK is not implemented. linkLocation=https://item.taobao.com/item.htm?id=1055158879074, friendlyName=打开商品</x:v>
      </x:c>
      <x:c r="J21" s="25" t="e">
        <x:f>HYPERLINK("https://data.zhiyitech.cn/itemDetail/overview/base?itemId=1055158879074","打开知衣")</x:f>
        <x:v>HYPERLINK is not implemented. linkLocation=https://data.zhiyitech.cn/itemDetail/overview/base?itemId=1055158879074, friendlyName=打开知衣</x:v>
      </x:c>
      <x:c r="K21" s="25" t="e">
        <x:f>HYPERLINK("https://img.alicdn.com/bao/uploaded/i2/2219286696309/O1CN01EPvwyUJeSoE43lmS_!!4611686018427384181-0-item_pic.jpg","查看主图")</x:f>
        <x:v>HYPERLINK is not implemented. linkLocation=https://img.alicdn.com/bao/uploaded/i2/2219286696309/O1CN01EPvwyUJeSoE43lmS_!!4611686018427384181-0-item_pic.jpg, friendlyName=查看主图</x:v>
      </x:c>
      <x:c r="L21" s="9" t="str">
        <x:v>无明确性别信息</x:v>
      </x:c>
      <x:c r="M21" s="9" t="str">
        <x:v>运动下装</x:v>
      </x:c>
      <x:c r="N21" s="9" t="str">
        <x:v>排行榜_商品榜_销售额榜_热销_运动服_休闲服装-运休闲服装-跑步短裤_2025-11-01_2026-10-31 (7).xlsx</x:v>
      </x:c>
      <x:c r="O21" s="9" t="str">
        <x:v>默认</x:v>
      </x:c>
      <x:c r="P21" s="9" t="n">
        <x:v>90</x:v>
      </x:c>
      <x:c r="Q21" s="9" t="str">
        <x:v>b4959cd74b14f4314b9473c91799b973e0b2ff209bedfdac04b6266e6a5d9ce9</x:v>
      </x:c>
      <x:c r="R21" s="9" t="str">
        <x:v>MIX_SPORT_AVGPAID_1300_1400_ANNUAL2026</x:v>
      </x:c>
      <x:c r="S21" s="9" t="str">
        <x:v>排行榜_商品榜_销售额榜_热销_运动服_休闲服装-运休闲服装-跑步短裤_2025-11-01_2026-10-31 (7).xlsx / 默认 / 第90行 / SHA256 b4959cd74b14f4314b9473c91799b973e0b2ff209bedfdac04b6266e6a5d9ce9</x:v>
      </x:c>
    </x:row>
    <x:row r="22" ht="58" customHeight="1">
      <x:c r="A22" s="23" t="str">
        <x:v>1055688522485</x:v>
      </x:c>
      <x:c r="B22" s="22"/>
      <x:c r="C22" s="22"/>
      <x:c r="D22" s="9" t="str">
        <x:v>DESCENTE迪桑特ALLTERRAIN 81系列轻量工装短裤</x:v>
      </x:c>
      <x:c r="E22" s="9" t="str">
        <x:v>DESCENTE/迪桑特</x:v>
      </x:c>
      <x:c r="F22" s="9" t="str">
        <x:v>短裤</x:v>
      </x:c>
      <x:c r="G22" s="9" t="str">
        <x:v>运动短裤</x:v>
      </x:c>
      <x:c r="H22" s="24" t="n">
        <x:v>1125.02</x:v>
      </x:c>
      <x:c r="I22" s="25" t="e">
        <x:f>HYPERLINK("https://item.taobao.com/item.htm?id=1055688522485","打开商品")</x:f>
        <x:v>HYPERLINK is not implemented. linkLocation=https://item.taobao.com/item.htm?id=1055688522485, friendlyName=打开商品</x:v>
      </x:c>
      <x:c r="J22" s="25" t="e">
        <x:f>HYPERLINK("https://data.zhiyitech.cn/itemDetail/overview/base?itemId=1055688522485","打开知衣")</x:f>
        <x:v>HYPERLINK is not implemented. linkLocation=https://data.zhiyitech.cn/itemDetail/overview/base?itemId=1055688522485, friendlyName=打开知衣</x:v>
      </x:c>
      <x:c r="K22" s="25" t="e">
        <x:f>HYPERLINK("https://img.alicdn.com/bao/uploaded/i2/3299471109/O1CN018nKxzev39cH43lmS_!!4611686018427383557-0-item_pic.jpg","查看主图")</x:f>
        <x:v>HYPERLINK is not implemented. linkLocation=https://img.alicdn.com/bao/uploaded/i2/3299471109/O1CN018nKxzev39cH43lmS_!!4611686018427383557-0-item_pic.jpg, friendlyName=查看主图</x:v>
      </x:c>
      <x:c r="L22" s="9" t="str">
        <x:v>无明确性别信息</x:v>
      </x:c>
      <x:c r="M22" s="9" t="str">
        <x:v>运动下装</x:v>
      </x:c>
      <x:c r="N22" s="9" t="str">
        <x:v>排行榜_商品榜_销售额榜_热销_运动服_休闲服装-运休闲服装-跑步短裤_2025-11-01_2026-10-31 (9).xlsx</x:v>
      </x:c>
      <x:c r="O22" s="9" t="str">
        <x:v>默认</x:v>
      </x:c>
      <x:c r="P22" s="9" t="n">
        <x:v>173</x:v>
      </x:c>
      <x:c r="Q22" s="9" t="str">
        <x:v>bf4c13b761e645dc5b709fecfe2eba562c597469bada8d60d13514dd26d590ba</x:v>
      </x:c>
      <x:c r="R22" s="9" t="str">
        <x:v>MIX_SPORT_AVGPAID_1100_1200_ANNUAL2026</x:v>
      </x:c>
      <x:c r="S22" s="9" t="str">
        <x:v>排行榜_商品榜_销售额榜_热销_运动服_休闲服装-运休闲服装-跑步短裤_2025-11-01_2026-10-31 (9).xlsx / 默认 / 第173行 / SHA256 bf4c13b761e645dc5b709fecfe2eba562c597469bada8d60d13514dd26d590ba</x:v>
      </x:c>
    </x:row>
    <x:row r="23" ht="58" customHeight="1">
      <x:c r="A23" s="23" t="str">
        <x:v>1055852934080</x:v>
      </x:c>
      <x:c r="B23" s="22"/>
      <x:c r="C23" s="22"/>
      <x:c r="D23" s="9" t="str">
        <x:v>DESCENTEBLANC迪桑特ALLTERRAIN 81系列弹力梭织短裤</x:v>
      </x:c>
      <x:c r="E23" s="9" t="str">
        <x:v>DESCENTE/迪桑特</x:v>
      </x:c>
      <x:c r="F23" s="9" t="str">
        <x:v>短裤</x:v>
      </x:c>
      <x:c r="G23" s="9" t="str">
        <x:v>运动短裤</x:v>
      </x:c>
      <x:c r="H23" s="24" t="n">
        <x:v>1127.76</x:v>
      </x:c>
      <x:c r="I23" s="25" t="e">
        <x:f>HYPERLINK("https://item.taobao.com/item.htm?id=1055852934080","打开商品")</x:f>
        <x:v>HYPERLINK is not implemented. linkLocation=https://item.taobao.com/item.htm?id=1055852934080, friendlyName=打开商品</x:v>
      </x:c>
      <x:c r="J23" s="25" t="e">
        <x:f>HYPERLINK("https://data.zhiyitech.cn/itemDetail/overview/base?itemId=1055852934080","打开知衣")</x:f>
        <x:v>HYPERLINK is not implemented. linkLocation=https://data.zhiyitech.cn/itemDetail/overview/base?itemId=1055852934080, friendlyName=打开知衣</x:v>
      </x:c>
      <x:c r="K23" s="25" t="e">
        <x:f>HYPERLINK("https://img.alicdn.com/bao/uploaded/i2/2219286696309/O1CN014KBY4gAt31D43lmS-2219286696309.jpg","查看主图")</x:f>
        <x:v>HYPERLINK is not implemented. linkLocation=https://img.alicdn.com/bao/uploaded/i2/2219286696309/O1CN014KBY4gAt31D43lmS-2219286696309.jpg, friendlyName=查看主图</x:v>
      </x:c>
      <x:c r="L23" s="9" t="str">
        <x:v>无明确性别信息</x:v>
      </x:c>
      <x:c r="M23" s="9" t="str">
        <x:v>运动下装</x:v>
      </x:c>
      <x:c r="N23" s="9" t="str">
        <x:v>排行榜_商品榜_销售额榜_热销_运动服_休闲服装-运休闲服装-跑步短裤_2025-11-01_2026-10-31 (9).xlsx</x:v>
      </x:c>
      <x:c r="O23" s="9" t="str">
        <x:v>默认</x:v>
      </x:c>
      <x:c r="P23" s="9" t="n">
        <x:v>151</x:v>
      </x:c>
      <x:c r="Q23" s="9" t="str">
        <x:v>bf4c13b761e645dc5b709fecfe2eba562c597469bada8d60d13514dd26d590ba</x:v>
      </x:c>
      <x:c r="R23" s="9" t="str">
        <x:v>MIX_SPORT_AVGPAID_1100_1200_ANNUAL2026</x:v>
      </x:c>
      <x:c r="S23" s="9" t="str">
        <x:v>排行榜_商品榜_销售额榜_热销_运动服_休闲服装-运休闲服装-跑步短裤_2025-11-01_2026-10-31 (9).xlsx / 默认 / 第151行 / SHA256 bf4c13b761e645dc5b709fecfe2eba562c597469bada8d60d13514dd26d590ba</x:v>
      </x:c>
    </x:row>
    <x:row r="24" ht="58" customHeight="1">
      <x:c r="A24" s="23" t="str">
        <x:v>1056861821142</x:v>
      </x:c>
      <x:c r="B24" s="22"/>
      <x:c r="C24" s="22"/>
      <x:c r="D24" s="9" t="str">
        <x:v>DESCENTE迪桑特ALLTERRAIN 81系列弹力梭织短裤</x:v>
      </x:c>
      <x:c r="E24" s="9" t="str">
        <x:v>DESCENTE/迪桑特</x:v>
      </x:c>
      <x:c r="F24" s="9" t="str">
        <x:v>短裤</x:v>
      </x:c>
      <x:c r="G24" s="9" t="str">
        <x:v>运动短裤</x:v>
      </x:c>
      <x:c r="H24" s="24" t="n">
        <x:v>1131.73</x:v>
      </x:c>
      <x:c r="I24" s="25" t="e">
        <x:f>HYPERLINK("https://item.taobao.com/item.htm?id=1056861821142","打开商品")</x:f>
        <x:v>HYPERLINK is not implemented. linkLocation=https://item.taobao.com/item.htm?id=1056861821142, friendlyName=打开商品</x:v>
      </x:c>
      <x:c r="J24" s="25" t="e">
        <x:f>HYPERLINK("https://data.zhiyitech.cn/itemDetail/overview/base?itemId=1056861821142","打开知衣")</x:f>
        <x:v>HYPERLINK is not implemented. linkLocation=https://data.zhiyitech.cn/itemDetail/overview/base?itemId=1056861821142, friendlyName=打开知衣</x:v>
      </x:c>
      <x:c r="K24" s="25" t="e">
        <x:f>HYPERLINK("https://img.alicdn.com/bao/uploaded/i2/3299471109/O1CN01PjDUes8iAhG43lmS_!!4611686018427383557-0-item_pic.jpg","查看主图")</x:f>
        <x:v>HYPERLINK is not implemented. linkLocation=https://img.alicdn.com/bao/uploaded/i2/3299471109/O1CN01PjDUes8iAhG43lmS_!!4611686018427383557-0-item_pic.jpg, friendlyName=查看主图</x:v>
      </x:c>
      <x:c r="L24" s="9" t="str">
        <x:v>无明确性别信息</x:v>
      </x:c>
      <x:c r="M24" s="9" t="str">
        <x:v>运动下装</x:v>
      </x:c>
      <x:c r="N24" s="9" t="str">
        <x:v>排行榜_商品榜_销售额榜_热销_运动服_休闲服装-运休闲服装-跑步短裤_2025-11-01_2026-10-31 (9).xlsx</x:v>
      </x:c>
      <x:c r="O24" s="9" t="str">
        <x:v>默认</x:v>
      </x:c>
      <x:c r="P24" s="9" t="n">
        <x:v>185</x:v>
      </x:c>
      <x:c r="Q24" s="9" t="str">
        <x:v>bf4c13b761e645dc5b709fecfe2eba562c597469bada8d60d13514dd26d590ba</x:v>
      </x:c>
      <x:c r="R24" s="9" t="str">
        <x:v>MIX_SPORT_AVGPAID_1100_1200_ANNUAL2026</x:v>
      </x:c>
      <x:c r="S24" s="9" t="str">
        <x:v>排行榜_商品榜_销售额榜_热销_运动服_休闲服装-运休闲服装-跑步短裤_2025-11-01_2026-10-31 (9).xlsx / 默认 / 第185行 / SHA256 bf4c13b761e645dc5b709fecfe2eba562c597469bada8d60d13514dd26d590ba</x:v>
      </x:c>
    </x:row>
    <x:row r="25" ht="58" customHeight="1">
      <x:c r="A25" s="23" t="str">
        <x:v>1066726325153</x:v>
      </x:c>
      <x:c r="B25" s="22"/>
      <x:c r="C25" s="22"/>
      <x:c r="D25" s="9" t="str">
        <x:v>DESCENTE迪桑特ALLTERRAIN 81系列轻量水洗工装七分短裤</x:v>
      </x:c>
      <x:c r="E25" s="9" t="str">
        <x:v>DESCENTE/迪桑特</x:v>
      </x:c>
      <x:c r="F25" s="9" t="str">
        <x:v>短裤</x:v>
      </x:c>
      <x:c r="G25" s="9" t="str">
        <x:v>运动短裤</x:v>
      </x:c>
      <x:c r="H25" s="24" t="n">
        <x:v>1115.98</x:v>
      </x:c>
      <x:c r="I25" s="25" t="e">
        <x:f>HYPERLINK("https://item.taobao.com/item.htm?id=1066726325153","打开商品")</x:f>
        <x:v>HYPERLINK is not implemented. linkLocation=https://item.taobao.com/item.htm?id=1066726325153, friendlyName=打开商品</x:v>
      </x:c>
      <x:c r="J25" s="25" t="e">
        <x:f>HYPERLINK("https://data.zhiyitech.cn/itemDetail/overview/base?itemId=1066726325153","打开知衣")</x:f>
        <x:v>HYPERLINK is not implemented. linkLocation=https://data.zhiyitech.cn/itemDetail/overview/base?itemId=1066726325153, friendlyName=打开知衣</x:v>
      </x:c>
      <x:c r="K25" s="25" t="e">
        <x:f>HYPERLINK("https://img.alicdn.com/bao/uploaded/i3/3299471109/O1CN01a3HhYk5QMxJ43lmS_!!4611686018427383557-0-item_pic.jpg","查看主图")</x:f>
        <x:v>HYPERLINK is not implemented. linkLocation=https://img.alicdn.com/bao/uploaded/i3/3299471109/O1CN01a3HhYk5QMxJ43lmS_!!4611686018427383557-0-item_pic.jpg, friendlyName=查看主图</x:v>
      </x:c>
      <x:c r="L25" s="9" t="str">
        <x:v>无明确性别信息</x:v>
      </x:c>
      <x:c r="M25" s="9" t="str">
        <x:v>运动下装</x:v>
      </x:c>
      <x:c r="N25" s="9" t="str">
        <x:v>排行榜_商品榜_销售额榜_热销_运动服_休闲服装-运休闲服装-跑步短裤_2025-11-01_2026-10-31 (9).xlsx</x:v>
      </x:c>
      <x:c r="O25" s="9" t="str">
        <x:v>默认</x:v>
      </x:c>
      <x:c r="P25" s="9" t="n">
        <x:v>241</x:v>
      </x:c>
      <x:c r="Q25" s="9" t="str">
        <x:v>bf4c13b761e645dc5b709fecfe2eba562c597469bada8d60d13514dd26d590ba</x:v>
      </x:c>
      <x:c r="R25" s="9" t="str">
        <x:v>MIX_SPORT_AVGPAID_1100_1200_ANNUAL2026</x:v>
      </x:c>
      <x:c r="S25" s="9" t="str">
        <x:v>排行榜_商品榜_销售额榜_热销_运动服_休闲服装-运休闲服装-跑步短裤_2025-11-01_2026-10-31 (9).xlsx / 默认 / 第241行 / SHA256 bf4c13b761e645dc5b709fecfe2eba562c597469bada8d60d13514dd26d590ba</x:v>
      </x:c>
    </x:row>
    <x:row r="26" ht="58" customHeight="1">
      <x:c r="A26" s="23" t="str">
        <x:v>1067567792645</x:v>
      </x:c>
      <x:c r="B26" s="22"/>
      <x:c r="C26" s="22"/>
      <x:c r="D26" s="9" t="str">
        <x:v>【秋冬】DESCENTEBLANC迪桑特ALLTERRAIN 81系列轻量水洗工装短裤</x:v>
      </x:c>
      <x:c r="E26" s="9" t="str">
        <x:v>DESCENTE/迪桑特</x:v>
      </x:c>
      <x:c r="F26" s="9" t="str">
        <x:v>短裤</x:v>
      </x:c>
      <x:c r="G26" s="9" t="str">
        <x:v>运动短裤</x:v>
      </x:c>
      <x:c r="H26" s="24" t="n">
        <x:v>1141.14</x:v>
      </x:c>
      <x:c r="I26" s="25" t="e">
        <x:f>HYPERLINK("https://item.taobao.com/item.htm?id=1067567792645","打开商品")</x:f>
        <x:v>HYPERLINK is not implemented. linkLocation=https://item.taobao.com/item.htm?id=1067567792645, friendlyName=打开商品</x:v>
      </x:c>
      <x:c r="J26" s="25" t="e">
        <x:f>HYPERLINK("https://data.zhiyitech.cn/itemDetail/overview/base?itemId=1067567792645","打开知衣")</x:f>
        <x:v>HYPERLINK is not implemented. linkLocation=https://data.zhiyitech.cn/itemDetail/overview/base?itemId=1067567792645, friendlyName=打开知衣</x:v>
      </x:c>
      <x:c r="K26" s="25" t="e">
        <x:f>HYPERLINK("https://img.alicdn.com/bao/uploaded/i4/2219286696309/O1CN01vKW1MzHEuhB43lmS_!!4611686018427384181-0-item_pic.jpg","查看主图")</x:f>
        <x:v>HYPERLINK is not implemented. linkLocation=https://img.alicdn.com/bao/uploaded/i4/2219286696309/O1CN01vKW1MzHEuhB43lmS_!!4611686018427384181-0-item_pic.jpg, friendlyName=查看主图</x:v>
      </x:c>
      <x:c r="L26" s="9" t="str">
        <x:v>无明确性别信息</x:v>
      </x:c>
      <x:c r="M26" s="9" t="str">
        <x:v>运动下装</x:v>
      </x:c>
      <x:c r="N26" s="9" t="str">
        <x:v>排行榜_商品榜_销售额榜_热销_运动服_休闲服装-运休闲服装-跑步短裤_2025-11-01_2026-10-31 (9).xlsx</x:v>
      </x:c>
      <x:c r="O26" s="9" t="str">
        <x:v>默认</x:v>
      </x:c>
      <x:c r="P26" s="9" t="n">
        <x:v>221</x:v>
      </x:c>
      <x:c r="Q26" s="9" t="str">
        <x:v>bf4c13b761e645dc5b709fecfe2eba562c597469bada8d60d13514dd26d590ba</x:v>
      </x:c>
      <x:c r="R26" s="9" t="str">
        <x:v>MIX_SPORT_AVGPAID_1100_1200_ANNUAL2026</x:v>
      </x:c>
      <x:c r="S26" s="9" t="str">
        <x:v>排行榜_商品榜_销售额榜_热销_运动服_休闲服装-运休闲服装-跑步短裤_2025-11-01_2026-10-31 (9).xlsx / 默认 / 第221行 / SHA256 bf4c13b761e645dc5b709fecfe2eba562c597469bada8d60d13514dd26d590ba</x:v>
      </x:c>
    </x:row>
    <x:row r="27" ht="58" customHeight="1">
      <x:c r="A27" s="23" t="str">
        <x:v>1019916858151</x:v>
      </x:c>
      <x:c r="B27" s="22"/>
      <x:c r="C27" s="22"/>
      <x:c r="D27" s="9" t="str">
        <x:v>现货授权Goldwin Rip-stop Shorts 防撕裂机能短裤26SS</x:v>
      </x:c>
      <x:c r="E27" s="9" t="str">
        <x:v>GOLDWIN</x:v>
      </x:c>
      <x:c r="F27" s="9" t="str">
        <x:v>短裤</x:v>
      </x:c>
      <x:c r="G27" s="9" t="str">
        <x:v>运动短裤</x:v>
      </x:c>
      <x:c r="H27" s="24" t="n">
        <x:v>1400.08</x:v>
      </x:c>
      <x:c r="I27" s="25" t="e">
        <x:f>HYPERLINK("https://item.taobao.com/item.htm?id=1019916858151","打开商品")</x:f>
        <x:v>HYPERLINK is not implemented. linkLocation=https://item.taobao.com/item.htm?id=1019916858151, friendlyName=打开商品</x:v>
      </x:c>
      <x:c r="J27" s="25" t="e">
        <x:f>HYPERLINK("https://data.zhiyitech.cn/itemDetail/overview/base?itemId=1019916858151","打开知衣")</x:f>
        <x:v>HYPERLINK is not implemented. linkLocation=https://data.zhiyitech.cn/itemDetail/overview/base?itemId=1019916858151, friendlyName=打开知衣</x:v>
      </x:c>
      <x:c r="K27" s="25" t="e">
        <x:f>HYPERLINK("https://img.alicdn.com/bao/uploaded/i4/2923146621/O1CN01swbhrN1ymTTQlujF9_!!2923146621.jpg","查看主图")</x:f>
        <x:v>HYPERLINK is not implemented. linkLocation=https://img.alicdn.com/bao/uploaded/i4/2923146621/O1CN01swbhrN1ymTTQlujF9_!!2923146621.jpg, friendlyName=查看主图</x:v>
      </x:c>
      <x:c r="L27" s="9" t="str">
        <x:v>无明确性别信息</x:v>
      </x:c>
      <x:c r="M27" s="9" t="str">
        <x:v>运动下装</x:v>
      </x:c>
      <x:c r="N27" s="9" t="str">
        <x:v>排行榜_商品榜_销售额榜_热销_运动服_休闲服装-运休闲服装-跑步短裤_2025-11-01_2026-10-31 (6).xlsx</x:v>
      </x:c>
      <x:c r="O27" s="9" t="str">
        <x:v>默认</x:v>
      </x:c>
      <x:c r="P27" s="9" t="n">
        <x:v>129</x:v>
      </x:c>
      <x:c r="Q27" s="9" t="str">
        <x:v>51c5baf852346f6326f6a242f8205ac9db74e4145a36be5e01e3352750e8cecc</x:v>
      </x:c>
      <x:c r="R27" s="9" t="str">
        <x:v>MIX_SPORT_AVGPAID_1400_1500_ANNUAL2026</x:v>
      </x:c>
      <x:c r="S27" s="9" t="str">
        <x:v>排行榜_商品榜_销售额榜_热销_运动服_休闲服装-运休闲服装-跑步短裤_2025-11-01_2026-10-31 (6).xlsx / 默认 / 第129行 / SHA256 51c5baf852346f6326f6a242f8205ac9db74e4145a36be5e01e3352750e8cecc</x:v>
      </x:c>
    </x:row>
    <x:row r="28" ht="58" customHeight="1">
      <x:c r="A28" s="23" t="str">
        <x:v>1034574381610</x:v>
      </x:c>
      <x:c r="B28" s="22"/>
      <x:c r="C28" s="22"/>
      <x:c r="D28" s="9" t="str">
        <x:v>现货授权HIKING PATROL×MAMMUT LIGHT SHORTS 户外运动短裤26SS</x:v>
      </x:c>
      <x:c r="E28" s="9" t="str">
        <x:v>MAMMUT/猛犸象</x:v>
      </x:c>
      <x:c r="F28" s="9" t="str">
        <x:v>短裤</x:v>
      </x:c>
      <x:c r="G28" s="9" t="str">
        <x:v>运动短裤</x:v>
      </x:c>
      <x:c r="H28" s="24" t="n">
        <x:v>1298</x:v>
      </x:c>
      <x:c r="I28" s="25" t="e">
        <x:f>HYPERLINK("https://item.taobao.com/item.htm?id=1034574381610","打开商品")</x:f>
        <x:v>HYPERLINK is not implemented. linkLocation=https://item.taobao.com/item.htm?id=1034574381610, friendlyName=打开商品</x:v>
      </x:c>
      <x:c r="J28" s="25" t="e">
        <x:f>HYPERLINK("https://data.zhiyitech.cn/itemDetail/overview/base?itemId=1034574381610","打开知衣")</x:f>
        <x:v>HYPERLINK is not implemented. linkLocation=https://data.zhiyitech.cn/itemDetail/overview/base?itemId=1034574381610, friendlyName=打开知衣</x:v>
      </x:c>
      <x:c r="K28" s="25" t="e">
        <x:f>HYPERLINK("https://img.alicdn.com/bao/uploaded/i2/2923146621/O1CN01vUYcjJ1ymTTqHzMgt_!!2923146621.jpg","查看主图")</x:f>
        <x:v>HYPERLINK is not implemented. linkLocation=https://img.alicdn.com/bao/uploaded/i2/2923146621/O1CN01vUYcjJ1ymTTqHzMgt_!!2923146621.jpg, friendlyName=查看主图</x:v>
      </x:c>
      <x:c r="L28" s="9" t="str">
        <x:v>无明确性别信息</x:v>
      </x:c>
      <x:c r="M28" s="9" t="str">
        <x:v>运动下装</x:v>
      </x:c>
      <x:c r="N28" s="9" t="str">
        <x:v>排行榜_商品榜_销售额榜_热销_运动服_休闲服装-运休闲服装-跑步短裤_2025-11-01_2026-10-31 (8).xlsx</x:v>
      </x:c>
      <x:c r="O28" s="9" t="str">
        <x:v>默认</x:v>
      </x:c>
      <x:c r="P28" s="9" t="n">
        <x:v>232</x:v>
      </x:c>
      <x:c r="Q28" s="9" t="str">
        <x:v>188467edd382ec56460cb456b88a35e4bc41edeb6d84588a2971ef0bea45a429</x:v>
      </x:c>
      <x:c r="R28" s="9" t="str">
        <x:v>MIX_SPORT_AVGPAID_1200_1300_ANNUAL2026</x:v>
      </x:c>
      <x:c r="S28" s="9" t="str">
        <x:v>排行榜_商品榜_销售额榜_热销_运动服_休闲服装-运休闲服装-跑步短裤_2025-11-01_2026-10-31 (8).xlsx / 默认 / 第232行 / SHA256 188467edd382ec56460cb456b88a35e4bc41edeb6d84588a2971ef0bea45a429</x:v>
      </x:c>
    </x:row>
    <x:row r="29" ht="58" customHeight="1">
      <x:c r="A29" s="23" t="str">
        <x:v>1034599437860</x:v>
      </x:c>
      <x:c r="B29" s="22"/>
      <x:c r="C29" s="22"/>
      <x:c r="D29" s="9" t="str">
        <x:v>现货授权HIKING PATROL × MAMMUT SO SHORTS 徒步运动短裤26SS</x:v>
      </x:c>
      <x:c r="E29" s="9" t="str">
        <x:v>MAMMUT/猛犸象</x:v>
      </x:c>
      <x:c r="F29" s="9" t="str">
        <x:v>短裤</x:v>
      </x:c>
      <x:c r="G29" s="9" t="str">
        <x:v>运动短裤</x:v>
      </x:c>
      <x:c r="H29" s="24" t="n">
        <x:v>1398</x:v>
      </x:c>
      <x:c r="I29" s="25" t="e">
        <x:f>HYPERLINK("https://item.taobao.com/item.htm?id=1034599437860","打开商品")</x:f>
        <x:v>HYPERLINK is not implemented. linkLocation=https://item.taobao.com/item.htm?id=1034599437860, friendlyName=打开商品</x:v>
      </x:c>
      <x:c r="J29" s="25" t="e">
        <x:f>HYPERLINK("https://data.zhiyitech.cn/itemDetail/overview/base?itemId=1034599437860","打开知衣")</x:f>
        <x:v>HYPERLINK is not implemented. linkLocation=https://data.zhiyitech.cn/itemDetail/overview/base?itemId=1034599437860, friendlyName=打开知衣</x:v>
      </x:c>
      <x:c r="K29" s="25" t="e">
        <x:f>HYPERLINK("https://img.alicdn.com/bao/uploaded/i4/2923146621/O1CN01HFyIaL1ymTTqjYHDY~crop,186,0,1080,1440~_!!2923146621.jpg","查看主图")</x:f>
        <x:v>HYPERLINK is not implemented. linkLocation=https://img.alicdn.com/bao/uploaded/i4/2923146621/O1CN01HFyIaL1ymTTqjYHDY~crop,186,0,1080,1440~_!!2923146621.jpg, friendlyName=查看主图</x:v>
      </x:c>
      <x:c r="L29" s="9" t="str">
        <x:v>无明确性别信息</x:v>
      </x:c>
      <x:c r="M29" s="9" t="str">
        <x:v>运动下装</x:v>
      </x:c>
      <x:c r="N29" s="9" t="str">
        <x:v>排行榜_商品榜_销售额榜_热销_运动服_休闲服装-运休闲服装-跑步短裤_2025-11-01_2026-10-31 (7).xlsx</x:v>
      </x:c>
      <x:c r="O29" s="9" t="str">
        <x:v>默认</x:v>
      </x:c>
      <x:c r="P29" s="9" t="n">
        <x:v>196</x:v>
      </x:c>
      <x:c r="Q29" s="9" t="str">
        <x:v>b4959cd74b14f4314b9473c91799b973e0b2ff209bedfdac04b6266e6a5d9ce9</x:v>
      </x:c>
      <x:c r="R29" s="9" t="str">
        <x:v>MIX_SPORT_AVGPAID_1300_1400_ANNUAL2026</x:v>
      </x:c>
      <x:c r="S29" s="9" t="str">
        <x:v>排行榜_商品榜_销售额榜_热销_运动服_休闲服装-运休闲服装-跑步短裤_2025-11-01_2026-10-31 (7).xlsx / 默认 / 第196行 / SHA256 b4959cd74b14f4314b9473c91799b973e0b2ff209bedfdac04b6266e6a5d9ce9</x:v>
      </x:c>
    </x:row>
    <x:row r="30" ht="58" customHeight="1">
      <x:c r="A30" s="23" t="str">
        <x:v>796222620124</x:v>
      </x:c>
      <x:c r="B30" s="22"/>
      <x:c r="C30" s="22"/>
      <x:c r="D30" s="9" t="str">
        <x:v>MNxMASTERMIND联名经典运动短裤</x:v>
      </x:c>
      <x:c r="E30" s="9" t="str">
        <x:v>MITCHELL&amp;NESS</x:v>
      </x:c>
      <x:c r="F30" s="9" t="str">
        <x:v>短裤</x:v>
      </x:c>
      <x:c r="G30" s="9" t="str">
        <x:v>运动短裤</x:v>
      </x:c>
      <x:c r="H30" s="24" t="n">
        <x:v>1191.98</x:v>
      </x:c>
      <x:c r="I30" s="25" t="e">
        <x:f>HYPERLINK("https://item.taobao.com/item.htm?id=796222620124","打开商品")</x:f>
        <x:v>HYPERLINK is not implemented. linkLocation=https://item.taobao.com/item.htm?id=796222620124, friendlyName=打开商品</x:v>
      </x:c>
      <x:c r="J30" s="25" t="e">
        <x:f>HYPERLINK("https://data.zhiyitech.cn/itemDetail/overview/base?itemId=796222620124","打开知衣")</x:f>
        <x:v>HYPERLINK is not implemented. linkLocation=https://data.zhiyitech.cn/itemDetail/overview/base?itemId=796222620124, friendlyName=打开知衣</x:v>
      </x:c>
      <x:c r="K30" s="25" t="e">
        <x:f>HYPERLINK("https://img.alicdn.com/bao/uploaded/i1/3522891842/O1CN012Tlrqlkbr2C1chua_!!3522891842.jpg","查看主图")</x:f>
        <x:v>HYPERLINK is not implemented. linkLocation=https://img.alicdn.com/bao/uploaded/i1/3522891842/O1CN012Tlrqlkbr2C1chua_!!3522891842.jpg, friendlyName=查看主图</x:v>
      </x:c>
      <x:c r="L30" s="9" t="str">
        <x:v>无明确性别信息</x:v>
      </x:c>
      <x:c r="M30" s="9" t="str">
        <x:v>运动下装</x:v>
      </x:c>
      <x:c r="N30" s="9" t="str">
        <x:v>排行榜_商品榜_销售额榜_热销_运动服_休闲服装-运休闲服装-跑步短裤_2025-11-01_2026-10-31 (9).xlsx</x:v>
      </x:c>
      <x:c r="O30" s="9" t="str">
        <x:v>默认</x:v>
      </x:c>
      <x:c r="P30" s="9" t="n">
        <x:v>269</x:v>
      </x:c>
      <x:c r="Q30" s="9" t="str">
        <x:v>bf4c13b761e645dc5b709fecfe2eba562c597469bada8d60d13514dd26d590ba</x:v>
      </x:c>
      <x:c r="R30" s="9" t="str">
        <x:v>MIX_SPORT_AVGPAID_1100_1200_ANNUAL2026</x:v>
      </x:c>
      <x:c r="S30" s="9" t="str">
        <x:v>排行榜_商品榜_销售额榜_热销_运动服_休闲服装-运休闲服装-跑步短裤_2025-11-01_2026-10-31 (9).xlsx / 默认 / 第269行 / SHA256 bf4c13b761e645dc5b709fecfe2eba562c597469bada8d60d13514dd26d590ba</x:v>
      </x:c>
    </x:row>
    <x:row r="31" ht="58" customHeight="1">
      <x:c r="A31" s="23" t="str">
        <x:v>1088698852586</x:v>
      </x:c>
      <x:c r="B31" s="22"/>
      <x:c r="C31" s="22"/>
      <x:c r="D31" s="9" t="str">
        <x:v>PNS Balance 2 合 1 运动短裤 26秋冬新品</x:v>
      </x:c>
      <x:c r="E31" s="9" t="str">
        <x:v>PAS NORMAL STUDIOS</x:v>
      </x:c>
      <x:c r="F31" s="9" t="str">
        <x:v>短裤</x:v>
      </x:c>
      <x:c r="G31" s="9" t="str">
        <x:v>跑步短裤</x:v>
      </x:c>
      <x:c r="H31" s="24" t="n">
        <x:v>1480</x:v>
      </x:c>
      <x:c r="I31" s="25" t="e">
        <x:f>HYPERLINK("https://item.taobao.com/item.htm?id=1088698852586","打开商品")</x:f>
        <x:v>HYPERLINK is not implemented. linkLocation=https://item.taobao.com/item.htm?id=1088698852586, friendlyName=打开商品</x:v>
      </x:c>
      <x:c r="J31" s="25" t="e">
        <x:f>HYPERLINK("https://data.zhiyitech.cn/itemDetail/overview/base?itemId=1088698852586","打开知衣")</x:f>
        <x:v>HYPERLINK is not implemented. linkLocation=https://data.zhiyitech.cn/itemDetail/overview/base?itemId=1088698852586, friendlyName=打开知衣</x:v>
      </x:c>
      <x:c r="K31" s="25" t="e">
        <x:f>HYPERLINK("https://img.alicdn.com/imgextra/i4/2218595967267/O1CN01ZhiZ5M1H1FE2vH2e_!!4611686018427380003-0-item_pic.jpg","查看主图")</x:f>
        <x:v>HYPERLINK is not implemented. linkLocation=https://img.alicdn.com/imgextra/i4/2218595967267/O1CN01ZhiZ5M1H1FE2vH2e_!!4611686018427380003-0-item_pic.jpg, friendlyName=查看主图</x:v>
      </x:c>
      <x:c r="L31" s="9" t="str">
        <x:v>无明确性别信息</x:v>
      </x:c>
      <x:c r="M31" s="9" t="str">
        <x:v>运动下装</x:v>
      </x:c>
      <x:c r="N31" s="9" t="str">
        <x:v>排行榜_商品榜_销售额榜_热销_运动服_休闲服装-运休闲服装-跑步短裤_2025-11-01_2026-10-31 (6).xlsx</x:v>
      </x:c>
      <x:c r="O31" s="9" t="str">
        <x:v>默认</x:v>
      </x:c>
      <x:c r="P31" s="9" t="n">
        <x:v>111</x:v>
      </x:c>
      <x:c r="Q31" s="9" t="str">
        <x:v>51c5baf852346f6326f6a242f8205ac9db74e4145a36be5e01e3352750e8cecc</x:v>
      </x:c>
      <x:c r="R31" s="9" t="str">
        <x:v>MIX_SPORT_AVGPAID_1400_1500_ANNUAL2026</x:v>
      </x:c>
      <x:c r="S31" s="9" t="str">
        <x:v>排行榜_商品榜_销售额榜_热销_运动服_休闲服装-运休闲服装-跑步短裤_2025-11-01_2026-10-31 (6).xlsx / 默认 / 第111行 / SHA256 51c5baf852346f6326f6a242f8205ac9db74e4145a36be5e01e3352750e8cecc</x:v>
      </x:c>
    </x:row>
    <x:row r="32" ht="58" customHeight="1">
      <x:c r="A32" s="23" t="str">
        <x:v>1091055930643</x:v>
      </x:c>
      <x:c r="B32" s="22"/>
      <x:c r="C32" s="22"/>
      <x:c r="D32" s="9" t="str">
        <x:v>SOAR马拉松竞赛跑步紧身短裤</x:v>
      </x:c>
      <x:c r="E32" s="9" t="str">
        <x:v>SOAR RUNNING</x:v>
      </x:c>
      <x:c r="F32" s="9" t="str">
        <x:v>短裤</x:v>
      </x:c>
      <x:c r="G32" s="9" t="str">
        <x:v>跑步短裤</x:v>
      </x:c>
      <x:c r="H32" s="24" t="n">
        <x:v>1350.25</x:v>
      </x:c>
      <x:c r="I32" s="25" t="e">
        <x:f>HYPERLINK("https://item.taobao.com/item.htm?id=1091055930643","打开商品")</x:f>
        <x:v>HYPERLINK is not implemented. linkLocation=https://item.taobao.com/item.htm?id=1091055930643, friendlyName=打开商品</x:v>
      </x:c>
      <x:c r="J32" s="25" t="e">
        <x:f>HYPERLINK("https://data.zhiyitech.cn/itemDetail/overview/base?itemId=1091055930643","打开知衣")</x:f>
        <x:v>HYPERLINK is not implemented. linkLocation=https://data.zhiyitech.cn/itemDetail/overview/base?itemId=1091055930643, friendlyName=打开知衣</x:v>
      </x:c>
      <x:c r="K32" s="25" t="e">
        <x:f>HYPERLINK("https://img.alicdn.com/bao/uploaded/i2/2219877149975/O1CN01TXtMOHfpD0B2vH2e_!!2219877149975.jpg","查看主图")</x:f>
        <x:v>HYPERLINK is not implemented. linkLocation=https://img.alicdn.com/bao/uploaded/i2/2219877149975/O1CN01TXtMOHfpD0B2vH2e_!!2219877149975.jpg, friendlyName=查看主图</x:v>
      </x:c>
      <x:c r="L32" s="9" t="str">
        <x:v>无明确性别信息</x:v>
      </x:c>
      <x:c r="M32" s="9" t="str">
        <x:v>运动下装</x:v>
      </x:c>
      <x:c r="N32" s="9" t="str">
        <x:v>排行榜_商品榜_销售额榜_热销_运动服_休闲服装-运休闲服装-跑步短裤_2025-11-01_2026-10-31 (7).xlsx</x:v>
      </x:c>
      <x:c r="O32" s="9" t="str">
        <x:v>默认</x:v>
      </x:c>
      <x:c r="P32" s="9" t="n">
        <x:v>183</x:v>
      </x:c>
      <x:c r="Q32" s="9" t="str">
        <x:v>b4959cd74b14f4314b9473c91799b973e0b2ff209bedfdac04b6266e6a5d9ce9</x:v>
      </x:c>
      <x:c r="R32" s="9" t="str">
        <x:v>MIX_SPORT_AVGPAID_1300_1400_ANNUAL2026</x:v>
      </x:c>
      <x:c r="S32" s="9" t="str">
        <x:v>排行榜_商品榜_销售额榜_热销_运动服_休闲服装-运休闲服装-跑步短裤_2025-11-01_2026-10-31 (7).xlsx / 默认 / 第183行 / SHA256 b4959cd74b14f4314b9473c91799b973e0b2ff209bedfdac04b6266e6a5d9ce9</x:v>
      </x:c>
    </x:row>
    <x:row r="33" ht="58" customHeight="1">
      <x:c r="A33" s="23" t="str">
        <x:v>1053690691940</x:v>
      </x:c>
      <x:c r="B33" s="22"/>
      <x:c r="C33" s="22"/>
      <x:c r="D33" s="9" t="str">
        <x:v>现货 Supreme 26SS M&amp;N Teams Basketball Short 星星篮球短裤</x:v>
      </x:c>
      <x:c r="E33" s="9" t="str">
        <x:v>SUPREME</x:v>
      </x:c>
      <x:c r="F33" s="9" t="str">
        <x:v>短裤</x:v>
      </x:c>
      <x:c r="G33" s="9" t="str">
        <x:v>运动短裤</x:v>
      </x:c>
      <x:c r="H33" s="24" t="n">
        <x:v>1766.45</x:v>
      </x:c>
      <x:c r="I33" s="25" t="e">
        <x:f>HYPERLINK("https://item.taobao.com/item.htm?id=1053690691940","打开商品")</x:f>
        <x:v>HYPERLINK is not implemented. linkLocation=https://item.taobao.com/item.htm?id=1053690691940, friendlyName=打开商品</x:v>
      </x:c>
      <x:c r="J33" s="25" t="e">
        <x:f>HYPERLINK("https://data.zhiyitech.cn/itemDetail/overview/base?itemId=1053690691940","打开知衣")</x:f>
        <x:v>HYPERLINK is not implemented. linkLocation=https://data.zhiyitech.cn/itemDetail/overview/base?itemId=1053690691940, friendlyName=打开知衣</x:v>
      </x:c>
      <x:c r="K33" s="25" t="e">
        <x:f>HYPERLINK("https://img.alicdn.com/bao/uploaded/i4/854491440/O1CN01gUMR8a1MVZTkEX8aB_!!854491440.jpg","查看主图")</x:f>
        <x:v>HYPERLINK is not implemented. linkLocation=https://img.alicdn.com/bao/uploaded/i4/854491440/O1CN01gUMR8a1MVZTkEX8aB_!!854491440.jpg, friendlyName=查看主图</x:v>
      </x:c>
      <x:c r="L33" s="9" t="str">
        <x:v>无明确性别信息</x:v>
      </x:c>
      <x:c r="M33" s="9" t="str">
        <x:v>运动下装</x:v>
      </x:c>
      <x:c r="N33" s="9" t="str">
        <x:v>排行榜_商品榜_销售额榜_热销_运动服_休闲服装-运休闲服装-跑步短裤_2025-11-01_2026-10-31 (3).xlsx</x:v>
      </x:c>
      <x:c r="O33" s="9" t="str">
        <x:v>默认</x:v>
      </x:c>
      <x:c r="P33" s="9" t="n">
        <x:v>40</x:v>
      </x:c>
      <x:c r="Q33" s="9" t="str">
        <x:v>75c32f8ec048c7ff6d1862fee5bc8a3793f270522255a1b54f34ebdea84168ec</x:v>
      </x:c>
      <x:c r="R33" s="9" t="str">
        <x:v>MIX_SPORT_AVGPAID_1700_1800_ANNUAL2026</x:v>
      </x:c>
      <x:c r="S33" s="9" t="str">
        <x:v>排行榜_商品榜_销售额榜_热销_运动服_休闲服装-运休闲服装-跑步短裤_2025-11-01_2026-10-31 (3).xlsx / 默认 / 第40行 / SHA256 75c32f8ec048c7ff6d1862fee5bc8a3793f270522255a1b54f34ebdea84168ec</x:v>
      </x:c>
    </x:row>
    <x:row r="34" ht="58" customHeight="1">
      <x:c r="A34" s="23" t="str">
        <x:v>1053720311543</x:v>
      </x:c>
      <x:c r="B34" s="22"/>
      <x:c r="C34" s="22"/>
      <x:c r="D34" s="9" t="str">
        <x:v>现货 Supreme 26SS Baggy Denim Short 水洗做旧宽松阔版牛仔短裤</x:v>
      </x:c>
      <x:c r="E34" s="9" t="str">
        <x:v>SUPREME</x:v>
      </x:c>
      <x:c r="F34" s="9" t="str">
        <x:v>短裤</x:v>
      </x:c>
      <x:c r="G34" s="9" t="str">
        <x:v>运动短裤</x:v>
      </x:c>
      <x:c r="H34" s="24" t="n">
        <x:v>1369.3</x:v>
      </x:c>
      <x:c r="I34" s="25" t="e">
        <x:f>HYPERLINK("https://item.taobao.com/item.htm?id=1053720311543","打开商品")</x:f>
        <x:v>HYPERLINK is not implemented. linkLocation=https://item.taobao.com/item.htm?id=1053720311543, friendlyName=打开商品</x:v>
      </x:c>
      <x:c r="J34" s="25" t="e">
        <x:f>HYPERLINK("https://data.zhiyitech.cn/itemDetail/overview/base?itemId=1053720311543","打开知衣")</x:f>
        <x:v>HYPERLINK is not implemented. linkLocation=https://data.zhiyitech.cn/itemDetail/overview/base?itemId=1053720311543, friendlyName=打开知衣</x:v>
      </x:c>
      <x:c r="K34" s="25" t="e">
        <x:f>HYPERLINK("https://img.alicdn.com/bao/uploaded/i3/854491440/O1CN01sXJIZP1MVZTiq6SsZ_!!854491440.jpg","查看主图")</x:f>
        <x:v>HYPERLINK is not implemented. linkLocation=https://img.alicdn.com/bao/uploaded/i3/854491440/O1CN01sXJIZP1MVZTiq6SsZ_!!854491440.jpg, friendlyName=查看主图</x:v>
      </x:c>
      <x:c r="L34" s="9" t="str">
        <x:v>无明确性别信息</x:v>
      </x:c>
      <x:c r="M34" s="9" t="str">
        <x:v>运动下装</x:v>
      </x:c>
      <x:c r="N34" s="9" t="str">
        <x:v>排行榜_商品榜_销售额榜_热销_运动服_休闲服装-运休闲服装-跑步短裤_2025-11-01_2026-10-31 (7).xlsx</x:v>
      </x:c>
      <x:c r="O34" s="9" t="str">
        <x:v>默认</x:v>
      </x:c>
      <x:c r="P34" s="9" t="n">
        <x:v>177</x:v>
      </x:c>
      <x:c r="Q34" s="9" t="str">
        <x:v>b4959cd74b14f4314b9473c91799b973e0b2ff209bedfdac04b6266e6a5d9ce9</x:v>
      </x:c>
      <x:c r="R34" s="9" t="str">
        <x:v>MIX_SPORT_AVGPAID_1300_1400_ANNUAL2026</x:v>
      </x:c>
      <x:c r="S34" s="9" t="str">
        <x:v>排行榜_商品榜_销售额榜_热销_运动服_休闲服装-运休闲服装-跑步短裤_2025-11-01_2026-10-31 (7).xlsx / 默认 / 第177行 / SHA256 b4959cd74b14f4314b9473c91799b973e0b2ff209bedfdac04b6266e6a5d9ce9</x:v>
      </x:c>
    </x:row>
    <x:row r="35" ht="58" customHeight="1">
      <x:c r="A35" s="23" t="str">
        <x:v>1056125260362</x:v>
      </x:c>
      <x:c r="B35" s="22"/>
      <x:c r="C35" s="22"/>
      <x:c r="D35" s="9" t="str">
        <x:v>现货 Supreme 26SS MN Washington Bullets Baggy Short牛仔短裤</x:v>
      </x:c>
      <x:c r="E35" s="9" t="str">
        <x:v>SUPREME</x:v>
      </x:c>
      <x:c r="F35" s="9" t="str">
        <x:v>短裤</x:v>
      </x:c>
      <x:c r="G35" s="9" t="str">
        <x:v>运动短裤</x:v>
      </x:c>
      <x:c r="H35" s="24" t="n">
        <x:v>1954.12</x:v>
      </x:c>
      <x:c r="I35" s="25" t="e">
        <x:f>HYPERLINK("https://item.taobao.com/item.htm?id=1056125260362","打开商品")</x:f>
        <x:v>HYPERLINK is not implemented. linkLocation=https://item.taobao.com/item.htm?id=1056125260362, friendlyName=打开商品</x:v>
      </x:c>
      <x:c r="J35" s="25" t="e">
        <x:f>HYPERLINK("https://data.zhiyitech.cn/itemDetail/overview/base?itemId=1056125260362","打开知衣")</x:f>
        <x:v>HYPERLINK is not implemented. linkLocation=https://data.zhiyitech.cn/itemDetail/overview/base?itemId=1056125260362, friendlyName=打开知衣</x:v>
      </x:c>
      <x:c r="K35" s="25" t="e">
        <x:f>HYPERLINK("https://img.alicdn.com/bao/uploaded/i1/854491440/O1CN01RMVzHH1MVZTdK01eT_!!854491440.jpg","查看主图")</x:f>
        <x:v>HYPERLINK is not implemented. linkLocation=https://img.alicdn.com/bao/uploaded/i1/854491440/O1CN01RMVzHH1MVZTdK01eT_!!854491440.jpg, friendlyName=查看主图</x:v>
      </x:c>
      <x:c r="L35" s="9" t="str">
        <x:v>无明确性别信息</x:v>
      </x:c>
      <x:c r="M35" s="9" t="str">
        <x:v>运动下装</x:v>
      </x:c>
      <x:c r="N35" s="9" t="str">
        <x:v>排行榜_商品榜_销售额榜_热销_运动服_休闲服装-运休闲服装-跑步短裤_2025-11-01_2026-10-31 (1).xlsx</x:v>
      </x:c>
      <x:c r="O35" s="9" t="str">
        <x:v>默认</x:v>
      </x:c>
      <x:c r="P35" s="9" t="n">
        <x:v>31</x:v>
      </x:c>
      <x:c r="Q35" s="9" t="str">
        <x:v>9d582a2a182ec48ec8a355657c0bf2d8e8f39ae4b7c96aaa441f0d48c6b3d994</x:v>
      </x:c>
      <x:c r="R35" s="9" t="str">
        <x:v>MIX_SPORT_AVGPAID_1900_2000_ANNUAL2026</x:v>
      </x:c>
      <x:c r="S35" s="9" t="str">
        <x:v>排行榜_商品榜_销售额榜_热销_运动服_休闲服装-运休闲服装-跑步短裤_2025-11-01_2026-10-31 (1).xlsx / 默认 / 第31行 / SHA256 9d582a2a182ec48ec8a355657c0bf2d8e8f39ae4b7c96aaa441f0d48c6b3d994</x:v>
      </x:c>
    </x:row>
    <x:row r="36" ht="58" customHeight="1">
      <x:c r="A36" s="23" t="str">
        <x:v>1060310888128</x:v>
      </x:c>
      <x:c r="B36" s="22"/>
      <x:c r="C36" s="22"/>
      <x:c r="D36" s="9" t="str">
        <x:v>Supreme联名AJ篮球网眼运动短裤</x:v>
      </x:c>
      <x:c r="E36" s="9" t="str">
        <x:v>SUPREME</x:v>
      </x:c>
      <x:c r="F36" s="9" t="str">
        <x:v>短裤</x:v>
      </x:c>
      <x:c r="G36" s="9" t="str">
        <x:v>运动短裤</x:v>
      </x:c>
      <x:c r="H36" s="24" t="n">
        <x:v>1471.17</x:v>
      </x:c>
      <x:c r="I36" s="25" t="e">
        <x:f>HYPERLINK("https://item.taobao.com/item.htm?id=1060310888128","打开商品")</x:f>
        <x:v>HYPERLINK is not implemented. linkLocation=https://item.taobao.com/item.htm?id=1060310888128, friendlyName=打开商品</x:v>
      </x:c>
      <x:c r="J36" s="25" t="e">
        <x:f>HYPERLINK("https://data.zhiyitech.cn/itemDetail/overview/base?itemId=1060310888128","打开知衣")</x:f>
        <x:v>HYPERLINK is not implemented. linkLocation=https://data.zhiyitech.cn/itemDetail/overview/base?itemId=1060310888128, friendlyName=打开知衣</x:v>
      </x:c>
      <x:c r="K36" s="25" t="e">
        <x:f>HYPERLINK("https://img.alicdn.com/bao/uploaded/i2/854491440/O1CN01P0QvCb1MVZTw9iqV0_!!854491440.jpg","查看主图")</x:f>
        <x:v>HYPERLINK is not implemented. linkLocation=https://img.alicdn.com/bao/uploaded/i2/854491440/O1CN01P0QvCb1MVZTw9iqV0_!!854491440.jpg, friendlyName=查看主图</x:v>
      </x:c>
      <x:c r="L36" s="9" t="str">
        <x:v>无明确性别信息</x:v>
      </x:c>
      <x:c r="M36" s="9" t="str">
        <x:v>运动下装</x:v>
      </x:c>
      <x:c r="N36" s="9" t="str">
        <x:v>排行榜_商品榜_销售额榜_热销_运动服_休闲服装-运休闲服装-跑步短裤_2025-11-01_2026-10-31 (6).xlsx</x:v>
      </x:c>
      <x:c r="O36" s="9" t="str">
        <x:v>默认</x:v>
      </x:c>
      <x:c r="P36" s="9" t="n">
        <x:v>40</x:v>
      </x:c>
      <x:c r="Q36" s="9" t="str">
        <x:v>51c5baf852346f6326f6a242f8205ac9db74e4145a36be5e01e3352750e8cecc</x:v>
      </x:c>
      <x:c r="R36" s="9" t="str">
        <x:v>MIX_SPORT_AVGPAID_1400_1500_ANNUAL2026</x:v>
      </x:c>
      <x:c r="S36" s="9" t="str">
        <x:v>排行榜_商品榜_销售额榜_热销_运动服_休闲服装-运休闲服装-跑步短裤_2025-11-01_2026-10-31 (6).xlsx / 默认 / 第40行 / SHA256 51c5baf852346f6326f6a242f8205ac9db74e4145a36be5e01e3352750e8cecc</x:v>
      </x:c>
    </x:row>
    <x:row r="37" ht="58" customHeight="1">
      <x:c r="A37" s="23" t="str">
        <x:v>1076693644300</x:v>
      </x:c>
      <x:c r="B37" s="22"/>
      <x:c r="C37" s="22"/>
      <x:c r="D37" s="9" t="str">
        <x:v>现货 Supreme 26SS SMALL BOX BAGGY SHORT 刺绣小标宽松网眼短裤</x:v>
      </x:c>
      <x:c r="E37" s="9" t="str">
        <x:v>SUPREME</x:v>
      </x:c>
      <x:c r="F37" s="9" t="str">
        <x:v>短裤</x:v>
      </x:c>
      <x:c r="G37" s="9" t="str">
        <x:v>运动短裤</x:v>
      </x:c>
      <x:c r="H37" s="24" t="n">
        <x:v>1095.44</x:v>
      </x:c>
      <x:c r="I37" s="25" t="e">
        <x:f>HYPERLINK("https://item.taobao.com/item.htm?id=1076693644300","打开商品")</x:f>
        <x:v>HYPERLINK is not implemented. linkLocation=https://item.taobao.com/item.htm?id=1076693644300, friendlyName=打开商品</x:v>
      </x:c>
      <x:c r="J37" s="25" t="e">
        <x:f>HYPERLINK("https://data.zhiyitech.cn/itemDetail/overview/base?itemId=1076693644300","打开知衣")</x:f>
        <x:v>HYPERLINK is not implemented. linkLocation=https://data.zhiyitech.cn/itemDetail/overview/base?itemId=1076693644300, friendlyName=打开知衣</x:v>
      </x:c>
      <x:c r="K37" s="25" t="e">
        <x:f>HYPERLINK("https://img.alicdn.com/bao/uploaded/i2/854491440/O1CN019BXK1df3IGC43lmS_!!854491440.jpg","查看主图")</x:f>
        <x:v>HYPERLINK is not implemented. linkLocation=https://img.alicdn.com/bao/uploaded/i2/854491440/O1CN019BXK1df3IGC43lmS_!!854491440.jpg, friendlyName=查看主图</x:v>
      </x:c>
      <x:c r="L37" s="9" t="str">
        <x:v>无明确性别信息</x:v>
      </x:c>
      <x:c r="M37" s="9" t="str">
        <x:v>运动下装</x:v>
      </x:c>
      <x:c r="N37" s="9" t="str">
        <x:v>排行榜_商品榜_销售额榜_热销_运动服_休闲服装-运休闲服装-跑步短裤_2025-11-01_2026-10-31 (10).xlsx</x:v>
      </x:c>
      <x:c r="O37" s="9" t="str">
        <x:v>默认</x:v>
      </x:c>
      <x:c r="P37" s="9" t="n">
        <x:v>490</x:v>
      </x:c>
      <x:c r="Q37" s="9" t="str">
        <x:v>77c2723e3730f60e82908e61638dbb3700ba4d487e03331cf25303638bb2767e</x:v>
      </x:c>
      <x:c r="R37" s="9" t="str">
        <x:v>MIX_SPORT_AVGPAID_1000_1100_ANNUAL2026</x:v>
      </x:c>
      <x:c r="S37" s="9" t="str">
        <x:v>排行榜_商品榜_销售额榜_热销_运动服_休闲服装-运休闲服装-跑步短裤_2025-11-01_2026-10-31 (10).xlsx / 默认 / 第490行 / SHA256 77c2723e3730f60e82908e61638dbb3700ba4d487e03331cf25303638bb2767e</x:v>
      </x:c>
    </x:row>
    <x:row r="38" ht="58" customHeight="1">
      <x:c r="A38" s="23" t="str">
        <x:v>1026584837815</x:v>
      </x:c>
      <x:c r="B38" s="22"/>
      <x:c r="C38" s="22"/>
      <x:c r="D38" s="9" t="str">
        <x:v>日本买手代购 nagonstans 26SS 470JS831-0591 short pants 短裤</x:v>
      </x:c>
      <x:c r="E38" s="9" t="str">
        <x:v>未提供品牌</x:v>
      </x:c>
      <x:c r="F38" s="9" t="str">
        <x:v>短裤</x:v>
      </x:c>
      <x:c r="G38" s="9" t="str">
        <x:v>运动短裤</x:v>
      </x:c>
      <x:c r="H38" s="24" t="n">
        <x:v>1289.75</x:v>
      </x:c>
      <x:c r="I38" s="25" t="e">
        <x:f>HYPERLINK("https://item.taobao.com/item.htm?id=1026584837815","打开商品")</x:f>
        <x:v>HYPERLINK is not implemented. linkLocation=https://item.taobao.com/item.htm?id=1026584837815, friendlyName=打开商品</x:v>
      </x:c>
      <x:c r="J38" s="25" t="e">
        <x:f>HYPERLINK("https://data.zhiyitech.cn/itemDetail/overview/base?itemId=1026584837815","打开知衣")</x:f>
        <x:v>HYPERLINK is not implemented. linkLocation=https://data.zhiyitech.cn/itemDetail/overview/base?itemId=1026584837815, friendlyName=打开知衣</x:v>
      </x:c>
      <x:c r="K38" s="25" t="e">
        <x:f>HYPERLINK("https://img.alicdn.com/bao/uploaded/i3/74297004/O1CN01vC8fTO21btAaGYFYb~crop,0,250,1000,1000~_!!74297004.webp","查看主图")</x:f>
        <x:v>HYPERLINK is not implemented. linkLocation=https://img.alicdn.com/bao/uploaded/i3/74297004/O1CN01vC8fTO21btAaGYFYb~crop,0,250,1000,1000~_!!74297004.webp, friendlyName=查看主图</x:v>
      </x:c>
      <x:c r="L38" s="9" t="str">
        <x:v>无明确性别信息</x:v>
      </x:c>
      <x:c r="M38" s="9" t="str">
        <x:v>运动下装</x:v>
      </x:c>
      <x:c r="N38" s="9" t="str">
        <x:v>排行榜_商品榜_销售额榜_热销_运动服_休闲服装-运休闲服装-跑步短裤_2025-11-01_2026-10-31 (8).xlsx</x:v>
      </x:c>
      <x:c r="O38" s="9" t="str">
        <x:v>默认</x:v>
      </x:c>
      <x:c r="P38" s="9" t="n">
        <x:v>286</x:v>
      </x:c>
      <x:c r="Q38" s="9" t="str">
        <x:v>188467edd382ec56460cb456b88a35e4bc41edeb6d84588a2971ef0bea45a429</x:v>
      </x:c>
      <x:c r="R38" s="9" t="str">
        <x:v>MIX_SPORT_AVGPAID_1200_1300_ANNUAL2026</x:v>
      </x:c>
      <x:c r="S38" s="9" t="str">
        <x:v>排行榜_商品榜_销售额榜_热销_运动服_休闲服装-运休闲服装-跑步短裤_2025-11-01_2026-10-31 (8).xlsx / 默认 / 第286行 / SHA256 188467edd382ec56460cb456b88a35e4bc41edeb6d84588a2971ef0bea45a429</x:v>
      </x:c>
    </x:row>
    <x:row r="39" ht="58" customHeight="1">
      <x:c r="A39" s="23" t="str">
        <x:v>1040286854363</x:v>
      </x:c>
      <x:c r="B39" s="22"/>
      <x:c r="C39" s="22"/>
      <x:c r="D39" s="9" t="str">
        <x:v>现货授权is-ness 6-Pocket Shorts 经典廓形口袋工装短裤26SS</x:v>
      </x:c>
      <x:c r="E39" s="9" t="str">
        <x:v>未提供品牌</x:v>
      </x:c>
      <x:c r="F39" s="9" t="str">
        <x:v>短裤</x:v>
      </x:c>
      <x:c r="G39" s="9" t="str">
        <x:v>运动短裤</x:v>
      </x:c>
      <x:c r="H39" s="24" t="n">
        <x:v>1699.28</x:v>
      </x:c>
      <x:c r="I39" s="25" t="e">
        <x:f>HYPERLINK("https://item.taobao.com/item.htm?id=1040286854363","打开商品")</x:f>
        <x:v>HYPERLINK is not implemented. linkLocation=https://item.taobao.com/item.htm?id=1040286854363, friendlyName=打开商品</x:v>
      </x:c>
      <x:c r="J39" s="25" t="e">
        <x:f>HYPERLINK("https://data.zhiyitech.cn/itemDetail/overview/base?itemId=1040286854363","打开知衣")</x:f>
        <x:v>HYPERLINK is not implemented. linkLocation=https://data.zhiyitech.cn/itemDetail/overview/base?itemId=1040286854363, friendlyName=打开知衣</x:v>
      </x:c>
      <x:c r="K39" s="25" t="e">
        <x:f>HYPERLINK("https://img.alicdn.com/bao/uploaded/i1/2923146621/O1CN01PuTt6d1ymTU58UAdJ_!!2923146621.png","查看主图")</x:f>
        <x:v>HYPERLINK is not implemented. linkLocation=https://img.alicdn.com/bao/uploaded/i1/2923146621/O1CN01PuTt6d1ymTU58UAdJ_!!2923146621.png, friendlyName=查看主图</x:v>
      </x:c>
      <x:c r="L39" s="9" t="str">
        <x:v>无明确性别信息</x:v>
      </x:c>
      <x:c r="M39" s="9" t="str">
        <x:v>运动下装</x:v>
      </x:c>
      <x:c r="N39" s="9" t="str">
        <x:v>排行榜_商品榜_销售额榜_热销_运动服_休闲服装-运休闲服装-跑步短裤_2025-11-01_2026-10-31 (4).xlsx</x:v>
      </x:c>
      <x:c r="O39" s="9" t="str">
        <x:v>默认</x:v>
      </x:c>
      <x:c r="P39" s="9" t="n">
        <x:v>31</x:v>
      </x:c>
      <x:c r="Q39" s="9" t="str">
        <x:v>f87107da07f2a69cacdf5d1934c6ee6199ee509824961182157054c4707072d8</x:v>
      </x:c>
      <x:c r="R39" s="9" t="str">
        <x:v>MIX_SPORT_AVGPAID_1600_1700_ANNUAL2026</x:v>
      </x:c>
      <x:c r="S39" s="9" t="str">
        <x:v>排行榜_商品榜_销售额榜_热销_运动服_休闲服装-运休闲服装-跑步短裤_2025-11-01_2026-10-31 (4).xlsx / 默认 / 第31行 / SHA256 f87107da07f2a69cacdf5d1934c6ee6199ee509824961182157054c4707072d8</x:v>
      </x:c>
    </x:row>
    <x:row r="40" ht="58" customHeight="1">
      <x:c r="A40" s="23" t="str">
        <x:v>1040734516620</x:v>
      </x:c>
      <x:c r="B40" s="22"/>
      <x:c r="C40" s="22"/>
      <x:c r="D40" s="9" t="str">
        <x:v>现货授权JIEDA 3D 3/4 DENIM PANTS 休闲宽松直筒牛仔短裤26SS</x:v>
      </x:c>
      <x:c r="E40" s="9" t="str">
        <x:v>未提供品牌</x:v>
      </x:c>
      <x:c r="F40" s="9" t="str">
        <x:v>短裤</x:v>
      </x:c>
      <x:c r="G40" s="9" t="str">
        <x:v>运动短裤</x:v>
      </x:c>
      <x:c r="H40" s="24" t="n">
        <x:v>1274.6</x:v>
      </x:c>
      <x:c r="I40" s="25" t="e">
        <x:f>HYPERLINK("https://item.taobao.com/item.htm?id=1040734516620","打开商品")</x:f>
        <x:v>HYPERLINK is not implemented. linkLocation=https://item.taobao.com/item.htm?id=1040734516620, friendlyName=打开商品</x:v>
      </x:c>
      <x:c r="J40" s="25" t="e">
        <x:f>HYPERLINK("https://data.zhiyitech.cn/itemDetail/overview/base?itemId=1040734516620","打开知衣")</x:f>
        <x:v>HYPERLINK is not implemented. linkLocation=https://data.zhiyitech.cn/itemDetail/overview/base?itemId=1040734516620, friendlyName=打开知衣</x:v>
      </x:c>
      <x:c r="K40" s="25" t="e">
        <x:f>HYPERLINK("https://img.alicdn.com/bao/uploaded/i1/2923146621/O1CN01D41IFT1ymTTwgMdSL_!!2923146621.png","查看主图")</x:f>
        <x:v>HYPERLINK is not implemented. linkLocation=https://img.alicdn.com/bao/uploaded/i1/2923146621/O1CN01D41IFT1ymTTwgMdSL_!!2923146621.png, friendlyName=查看主图</x:v>
      </x:c>
      <x:c r="L40" s="9" t="str">
        <x:v>无明确性别信息</x:v>
      </x:c>
      <x:c r="M40" s="9" t="str">
        <x:v>运动下装</x:v>
      </x:c>
      <x:c r="N40" s="9" t="str">
        <x:v>排行榜_商品榜_销售额榜_热销_运动服_休闲服装-运休闲服装-跑步短裤_2025-11-01_2026-10-31 (8).xlsx</x:v>
      </x:c>
      <x:c r="O40" s="9" t="str">
        <x:v>默认</x:v>
      </x:c>
      <x:c r="P40" s="9" t="n">
        <x:v>257</x:v>
      </x:c>
      <x:c r="Q40" s="9" t="str">
        <x:v>188467edd382ec56460cb456b88a35e4bc41edeb6d84588a2971ef0bea45a429</x:v>
      </x:c>
      <x:c r="R40" s="9" t="str">
        <x:v>MIX_SPORT_AVGPAID_1200_1300_ANNUAL2026</x:v>
      </x:c>
      <x:c r="S40" s="9" t="str">
        <x:v>排行榜_商品榜_销售额榜_热销_运动服_休闲服装-运休闲服装-跑步短裤_2025-11-01_2026-10-31 (8).xlsx / 默认 / 第257行 / SHA256 188467edd382ec56460cb456b88a35e4bc41edeb6d84588a2971ef0bea45a429</x:v>
      </x:c>
    </x:row>
    <x:row r="41" ht="58" customHeight="1">
      <x:c r="A41" s="23" t="str">
        <x:v>1040933592699</x:v>
      </x:c>
      <x:c r="B41" s="22"/>
      <x:c r="C41" s="22"/>
      <x:c r="D41" s="9" t="str">
        <x:v>现货授权JIEDA 3/4DOUBLE KNEE SWEAT PANTS宽松休闲运动短裤26SS</x:v>
      </x:c>
      <x:c r="E41" s="9" t="str">
        <x:v>未提供品牌</x:v>
      </x:c>
      <x:c r="F41" s="9" t="str">
        <x:v>短裤</x:v>
      </x:c>
      <x:c r="G41" s="9" t="str">
        <x:v>运动短裤</x:v>
      </x:c>
      <x:c r="H41" s="24" t="n">
        <x:v>1250.2</x:v>
      </x:c>
      <x:c r="I41" s="25" t="e">
        <x:f>HYPERLINK("https://item.taobao.com/item.htm?id=1040933592699","打开商品")</x:f>
        <x:v>HYPERLINK is not implemented. linkLocation=https://item.taobao.com/item.htm?id=1040933592699, friendlyName=打开商品</x:v>
      </x:c>
      <x:c r="J41" s="25" t="e">
        <x:f>HYPERLINK("https://data.zhiyitech.cn/itemDetail/overview/base?itemId=1040933592699","打开知衣")</x:f>
        <x:v>HYPERLINK is not implemented. linkLocation=https://data.zhiyitech.cn/itemDetail/overview/base?itemId=1040933592699, friendlyName=打开知衣</x:v>
      </x:c>
      <x:c r="K41" s="25" t="e">
        <x:f>HYPERLINK("https://img.alicdn.com/bao/uploaded/i4/2923146621/O1CN01gNmx5W1ymTTwic00g_!!2923146621.png","查看主图")</x:f>
        <x:v>HYPERLINK is not implemented. linkLocation=https://img.alicdn.com/bao/uploaded/i4/2923146621/O1CN01gNmx5W1ymTTwic00g_!!2923146621.png, friendlyName=查看主图</x:v>
      </x:c>
      <x:c r="L41" s="9" t="str">
        <x:v>无明确性别信息</x:v>
      </x:c>
      <x:c r="M41" s="9" t="str">
        <x:v>运动下装</x:v>
      </x:c>
      <x:c r="N41" s="9" t="str">
        <x:v>排行榜_商品榜_销售额榜_热销_运动服_休闲服装-运休闲服装-跑步短裤_2025-11-01_2026-10-31 (8).xlsx</x:v>
      </x:c>
      <x:c r="O41" s="9" t="str">
        <x:v>默认</x:v>
      </x:c>
      <x:c r="P41" s="9" t="n">
        <x:v>304</x:v>
      </x:c>
      <x:c r="Q41" s="9" t="str">
        <x:v>188467edd382ec56460cb456b88a35e4bc41edeb6d84588a2971ef0bea45a429</x:v>
      </x:c>
      <x:c r="R41" s="9" t="str">
        <x:v>MIX_SPORT_AVGPAID_1200_1300_ANNUAL2026</x:v>
      </x:c>
      <x:c r="S41" s="9" t="str">
        <x:v>排行榜_商品榜_销售额榜_热销_运动服_休闲服装-运休闲服装-跑步短裤_2025-11-01_2026-10-31 (8).xlsx / 默认 / 第304行 / SHA256 188467edd382ec56460cb456b88a35e4bc41edeb6d84588a2971ef0bea45a429</x:v>
      </x:c>
    </x:row>
    <x:row r="42" ht="58" customHeight="1">
      <x:c r="A42" s="23" t="str">
        <x:v>1042053644259</x:v>
      </x:c>
      <x:c r="B42" s="22"/>
      <x:c r="C42" s="22"/>
      <x:c r="D42" s="9" t="str">
        <x:v>现货授权is-ness 6-Pocket Shorts 经典廓形口袋工装短裤26SS</x:v>
      </x:c>
      <x:c r="E42" s="9" t="str">
        <x:v>未提供品牌</x:v>
      </x:c>
      <x:c r="F42" s="9" t="str">
        <x:v>短裤</x:v>
      </x:c>
      <x:c r="G42" s="9" t="str">
        <x:v>运动短裤</x:v>
      </x:c>
      <x:c r="H42" s="24" t="n">
        <x:v>1738.01</x:v>
      </x:c>
      <x:c r="I42" s="25" t="e">
        <x:f>HYPERLINK("https://item.taobao.com/item.htm?id=1042053644259","打开商品")</x:f>
        <x:v>HYPERLINK is not implemented. linkLocation=https://item.taobao.com/item.htm?id=1042053644259, friendlyName=打开商品</x:v>
      </x:c>
      <x:c r="J42" s="25" t="e">
        <x:f>HYPERLINK("https://data.zhiyitech.cn/itemDetail/overview/base?itemId=1042053644259","打开知衣")</x:f>
        <x:v>HYPERLINK is not implemented. linkLocation=https://data.zhiyitech.cn/itemDetail/overview/base?itemId=1042053644259, friendlyName=打开知衣</x:v>
      </x:c>
      <x:c r="K42" s="25" t="e">
        <x:f>HYPERLINK("https://img.alicdn.com/bao/uploaded/i3/2923146621/O1CN01k6v4g01ymTU4uzT4Y_!!2923146621.png","查看主图")</x:f>
        <x:v>HYPERLINK is not implemented. linkLocation=https://img.alicdn.com/bao/uploaded/i3/2923146621/O1CN01k6v4g01ymTU4uzT4Y_!!2923146621.png, friendlyName=查看主图</x:v>
      </x:c>
      <x:c r="L42" s="9" t="str">
        <x:v>无明确性别信息</x:v>
      </x:c>
      <x:c r="M42" s="9" t="str">
        <x:v>运动下装</x:v>
      </x:c>
      <x:c r="N42" s="9" t="str">
        <x:v>排行榜_商品榜_销售额榜_热销_运动服_休闲服装-运休闲服装-跑步短裤_2025-11-01_2026-10-31 (3).xlsx</x:v>
      </x:c>
      <x:c r="O42" s="9" t="str">
        <x:v>默认</x:v>
      </x:c>
      <x:c r="P42" s="9" t="n">
        <x:v>36</x:v>
      </x:c>
      <x:c r="Q42" s="9" t="str">
        <x:v>75c32f8ec048c7ff6d1862fee5bc8a3793f270522255a1b54f34ebdea84168ec</x:v>
      </x:c>
      <x:c r="R42" s="9" t="str">
        <x:v>MIX_SPORT_AVGPAID_1700_1800_ANNUAL2026</x:v>
      </x:c>
      <x:c r="S42" s="9" t="str">
        <x:v>排行榜_商品榜_销售额榜_热销_运动服_休闲服装-运休闲服装-跑步短裤_2025-11-01_2026-10-31 (3).xlsx / 默认 / 第36行 / SHA256 75c32f8ec048c7ff6d1862fee5bc8a3793f270522255a1b54f34ebdea84168ec</x:v>
      </x:c>
    </x:row>
    <x:row r="43" ht="58" customHeight="1">
      <x:c r="A43" s="23" t="str">
        <x:v>899513675927</x:v>
      </x:c>
      <x:c r="B43" s="22"/>
      <x:c r="C43" s="22"/>
      <x:c r="D43" s="9" t="str">
        <x:v>KAPTAIN SUNSHINE 25SS Trainer Short Pants 训练短裤</x:v>
      </x:c>
      <x:c r="E43" s="9" t="str">
        <x:v>未提供品牌</x:v>
      </x:c>
      <x:c r="F43" s="9" t="str">
        <x:v>短裤</x:v>
      </x:c>
      <x:c r="G43" s="9" t="str">
        <x:v>运动短裤</x:v>
      </x:c>
      <x:c r="H43" s="24" t="n">
        <x:v>1750.2</x:v>
      </x:c>
      <x:c r="I43" s="25" t="e">
        <x:f>HYPERLINK("https://item.taobao.com/item.htm?id=899513675927","打开商品")</x:f>
        <x:v>HYPERLINK is not implemented. linkLocation=https://item.taobao.com/item.htm?id=899513675927, friendlyName=打开商品</x:v>
      </x:c>
      <x:c r="J43" s="25" t="e">
        <x:f>HYPERLINK("https://data.zhiyitech.cn/itemDetail/overview/base?itemId=899513675927","打开知衣")</x:f>
        <x:v>HYPERLINK is not implemented. linkLocation=https://data.zhiyitech.cn/itemDetail/overview/base?itemId=899513675927, friendlyName=打开知衣</x:v>
      </x:c>
      <x:c r="K43" s="25" t="e">
        <x:f>HYPERLINK("https://img.alicdn.com/bao/uploaded/i4/2923146621/O1CN01XRelKC1ymTOQStsgU_!!2923146621.jpg","查看主图")</x:f>
        <x:v>HYPERLINK is not implemented. linkLocation=https://img.alicdn.com/bao/uploaded/i4/2923146621/O1CN01XRelKC1ymTOQStsgU_!!2923146621.jpg, friendlyName=查看主图</x:v>
      </x:c>
      <x:c r="L43" s="9" t="str">
        <x:v>无明确性别信息</x:v>
      </x:c>
      <x:c r="M43" s="9" t="str">
        <x:v>运动下装</x:v>
      </x:c>
      <x:c r="N43" s="9" t="str">
        <x:v>排行榜_商品榜_销售额榜_热销_运动服_休闲服装-运休闲服装-跑步短裤_2025-11-01_2026-10-31 (3).xlsx</x:v>
      </x:c>
      <x:c r="O43" s="9" t="str">
        <x:v>默认</x:v>
      </x:c>
      <x:c r="P43" s="9" t="n">
        <x:v>66</x:v>
      </x:c>
      <x:c r="Q43" s="9" t="str">
        <x:v>75c32f8ec048c7ff6d1862fee5bc8a3793f270522255a1b54f34ebdea84168ec</x:v>
      </x:c>
      <x:c r="R43" s="9" t="str">
        <x:v>MIX_SPORT_AVGPAID_1700_1800_ANNUAL2026</x:v>
      </x:c>
      <x:c r="S43" s="9" t="str">
        <x:v>排行榜_商品榜_销售额榜_热销_运动服_休闲服装-运休闲服装-跑步短裤_2025-11-01_2026-10-31 (3).xlsx / 默认 / 第66行 / SHA256 75c32f8ec048c7ff6d1862fee5bc8a3793f270522255a1b54f34ebdea84168ec</x:v>
      </x:c>
    </x:row>
    <x:row r="44" ht="58" customHeight="1">
      <x:c r="A44" s="23" t="str">
        <x:v>915619889947</x:v>
      </x:c>
      <x:c r="B44" s="22"/>
      <x:c r="C44" s="22"/>
      <x:c r="D44" s="9" t="str">
        <x:v>HIKING PATROL 25SS LT TECHNICAL SHORTS 防水轻薄科技短裤</x:v>
      </x:c>
      <x:c r="E44" s="9" t="str">
        <x:v>未提供品牌</x:v>
      </x:c>
      <x:c r="F44" s="9" t="str">
        <x:v>短裤</x:v>
      </x:c>
      <x:c r="G44" s="9" t="str">
        <x:v>运动短裤</x:v>
      </x:c>
      <x:c r="H44" s="24" t="n">
        <x:v>1499</x:v>
      </x:c>
      <x:c r="I44" s="25" t="e">
        <x:f>HYPERLINK("https://item.taobao.com/item.htm?id=915619889947","打开商品")</x:f>
        <x:v>HYPERLINK is not implemented. linkLocation=https://item.taobao.com/item.htm?id=915619889947, friendlyName=打开商品</x:v>
      </x:c>
      <x:c r="J44" s="25" t="e">
        <x:f>HYPERLINK("https://data.zhiyitech.cn/itemDetail/overview/base?itemId=915619889947","打开知衣")</x:f>
        <x:v>HYPERLINK is not implemented. linkLocation=https://data.zhiyitech.cn/itemDetail/overview/base?itemId=915619889947, friendlyName=打开知衣</x:v>
      </x:c>
      <x:c r="K44" s="25" t="e">
        <x:f>HYPERLINK("https://img.alicdn.com/bao/uploaded/i3/2923146621/O1CN01sCLnNZ1ymTOzRkEvl_!!2923146621.jpg","查看主图")</x:f>
        <x:v>HYPERLINK is not implemented. linkLocation=https://img.alicdn.com/bao/uploaded/i3/2923146621/O1CN01sCLnNZ1ymTOzRkEvl_!!2923146621.jpg, friendlyName=查看主图</x:v>
      </x:c>
      <x:c r="L44" s="9" t="str">
        <x:v>无明确性别信息</x:v>
      </x:c>
      <x:c r="M44" s="9" t="str">
        <x:v>运动下装</x:v>
      </x:c>
      <x:c r="N44" s="9" t="str">
        <x:v>排行榜_商品榜_销售额榜_热销_运动服_休闲服装-运休闲服装-跑步短裤_2025-11-01_2026-10-31 (6).xlsx</x:v>
      </x:c>
      <x:c r="O44" s="9" t="str">
        <x:v>默认</x:v>
      </x:c>
      <x:c r="P44" s="9" t="n">
        <x:v>107</x:v>
      </x:c>
      <x:c r="Q44" s="9" t="str">
        <x:v>51c5baf852346f6326f6a242f8205ac9db74e4145a36be5e01e3352750e8cecc</x:v>
      </x:c>
      <x:c r="R44" s="9" t="str">
        <x:v>MIX_SPORT_AVGPAID_1400_1500_ANNUAL2026</x:v>
      </x:c>
      <x:c r="S44" s="9" t="str">
        <x:v>排行榜_商品榜_销售额榜_热销_运动服_休闲服装-运休闲服装-跑步短裤_2025-11-01_2026-10-31 (6).xlsx / 默认 / 第107行 / SHA256 51c5baf852346f6326f6a242f8205ac9db74e4145a36be5e01e3352750e8cecc</x:v>
      </x:c>
    </x:row>
    <x:row r="45" ht="58" customHeight="1">
      <x:c r="A45" s="23" t="str">
        <x:v>915829699545</x:v>
      </x:c>
      <x:c r="B45" s="22"/>
      <x:c r="C45" s="22"/>
      <x:c r="D45" s="9" t="str">
        <x:v>KAPTAIN SUNSHINE 25SS Cargo Shorts 宽松休闲工装短裤</x:v>
      </x:c>
      <x:c r="E45" s="9" t="str">
        <x:v>未提供品牌</x:v>
      </x:c>
      <x:c r="F45" s="9" t="str">
        <x:v>短裤</x:v>
      </x:c>
      <x:c r="G45" s="9" t="str">
        <x:v>运动短裤</x:v>
      </x:c>
      <x:c r="H45" s="24" t="n">
        <x:v>1500.32</x:v>
      </x:c>
      <x:c r="I45" s="25" t="e">
        <x:f>HYPERLINK("https://item.taobao.com/item.htm?id=915829699545","打开商品")</x:f>
        <x:v>HYPERLINK is not implemented. linkLocation=https://item.taobao.com/item.htm?id=915829699545, friendlyName=打开商品</x:v>
      </x:c>
      <x:c r="J45" s="25" t="e">
        <x:f>HYPERLINK("https://data.zhiyitech.cn/itemDetail/overview/base?itemId=915829699545","打开知衣")</x:f>
        <x:v>HYPERLINK is not implemented. linkLocation=https://data.zhiyitech.cn/itemDetail/overview/base?itemId=915829699545, friendlyName=打开知衣</x:v>
      </x:c>
      <x:c r="K45" s="25" t="e">
        <x:f>HYPERLINK("https://img.alicdn.com/bao/uploaded/i3/2923146621/O1CN01G5srT31ymTOzgHl6s_!!2923146621.jpg","查看主图")</x:f>
        <x:v>HYPERLINK is not implemented. linkLocation=https://img.alicdn.com/bao/uploaded/i3/2923146621/O1CN01G5srT31ymTOzgHl6s_!!2923146621.jpg, friendlyName=查看主图</x:v>
      </x:c>
      <x:c r="L45" s="9" t="str">
        <x:v>无明确性别信息</x:v>
      </x:c>
      <x:c r="M45" s="9" t="str">
        <x:v>运动下装</x:v>
      </x:c>
      <x:c r="N45" s="9" t="str">
        <x:v>排行榜_商品榜_销售额榜_热销_运动服_休闲服装-运休闲服装-跑步短裤_2025-11-01_2026-10-31 (5).xlsx</x:v>
      </x:c>
      <x:c r="O45" s="9" t="str">
        <x:v>默认</x:v>
      </x:c>
      <x:c r="P45" s="9" t="n">
        <x:v>152</x:v>
      </x:c>
      <x:c r="Q45" s="9" t="str">
        <x:v>9ad7424665e3f8b592ed8cec3e99707eea5b9bd2316d324ab5977c56b4039ec9</x:v>
      </x:c>
      <x:c r="R45" s="9" t="str">
        <x:v>MIX_SPORT_AVGPAID_1500_1600_ANNUAL2026</x:v>
      </x:c>
      <x:c r="S45" s="9" t="str">
        <x:v>排行榜_商品榜_销售额榜_热销_运动服_休闲服装-运休闲服装-跑步短裤_2025-11-01_2026-10-31 (5).xlsx / 默认 / 第152行 / SHA256 9ad7424665e3f8b592ed8cec3e99707eea5b9bd2316d324ab5977c56b4039ec9</x:v>
      </x:c>
    </x:row>
    <x:row r="46" ht="58" customHeight="1">
      <x:c r="A46" s="23" t="str">
        <x:v>1016880656709</x:v>
      </x:c>
      <x:c r="B46" s="22"/>
      <x:c r="C46" s="22"/>
      <x:c r="D46" s="9" t="str">
        <x:v>ANNASUI安娜苏运动健身外穿legging瑜伽长裤紧身高腰收腹抗菌凉感</x:v>
      </x:c>
      <x:c r="E46" s="9" t="str">
        <x:v>ANNA SUI/安娜苏</x:v>
      </x:c>
      <x:c r="F46" s="9" t="str">
        <x:v>紧身裤</x:v>
      </x:c>
      <x:c r="G46" s="9" t="str">
        <x:v>紧身legging</x:v>
      </x:c>
      <x:c r="H46" s="24" t="n">
        <x:v>912.5</x:v>
      </x:c>
      <x:c r="I46" s="25" t="e">
        <x:f>HYPERLINK("https://item.taobao.com/item.htm?id=1016880656709","打开商品")</x:f>
        <x:v>HYPERLINK is not implemented. linkLocation=https://item.taobao.com/item.htm?id=1016880656709, friendlyName=打开商品</x:v>
      </x:c>
      <x:c r="J46" s="25" t="e">
        <x:f>HYPERLINK("https://data.zhiyitech.cn/itemDetail/overview/base?itemId=1016880656709","打开知衣")</x:f>
        <x:v>HYPERLINK is not implemented. linkLocation=https://data.zhiyitech.cn/itemDetail/overview/base?itemId=1016880656709, friendlyName=打开知衣</x:v>
      </x:c>
      <x:c r="K46" s="25" t="e">
        <x:f>HYPERLINK("https://img.alicdn.com/bao/uploaded/i3/2200697069868/O1CN01RclvpdNjAoL1chua_!!4611686018427380012-0-item_pic.jpg","查看主图")</x:f>
        <x:v>HYPERLINK is not implemented. linkLocation=https://img.alicdn.com/bao/uploaded/i3/2200697069868/O1CN01RclvpdNjAoL1chua_!!4611686018427380012-0-item_pic.jpg, friendlyName=查看主图</x:v>
      </x:c>
      <x:c r="L46" s="9" t="str">
        <x:v>无明确性别信息</x:v>
      </x:c>
      <x:c r="M46" s="9" t="str">
        <x:v>瑜伽与紧身裤</x:v>
      </x:c>
      <x:c r="N46" s="9" t="str">
        <x:v>排行榜_商品榜_销售额榜_热销_运动服_休闲服装-健球迷用品-瑜伽长裤_2025-11-01_2026-10-31 (2).xlsx</x:v>
      </x:c>
      <x:c r="O46" s="9" t="str">
        <x:v>默认</x:v>
      </x:c>
      <x:c r="P46" s="9" t="n">
        <x:v>118</x:v>
      </x:c>
      <x:c r="Q46" s="9" t="str">
        <x:v>8cddb74b4b42ab56f275f05c92c7c706c83ff40bffff2914c8d64de594e32d80</x:v>
      </x:c>
      <x:c r="R46" s="9" t="str">
        <x:v>MIX_YOGA_AVGPAID_900_1000_ANNUAL2026</x:v>
      </x:c>
      <x:c r="S46" s="9" t="str">
        <x:v>排行榜_商品榜_销售额榜_热销_运动服_休闲服装-健球迷用品-瑜伽长裤_2025-11-01_2026-10-31 (2).xlsx / 默认 / 第118行 / SHA256 8cddb74b4b42ab56f275f05c92c7c706c83ff40bffff2914c8d64de594e32d80</x:v>
      </x:c>
    </x:row>
    <x:row r="47" ht="58" customHeight="1">
      <x:c r="A47" s="23" t="str">
        <x:v>831809733453</x:v>
      </x:c>
      <x:c r="B47" s="22"/>
      <x:c r="C47" s="22"/>
      <x:c r="D47" s="9" t="str">
        <x:v>ANNA SUI蝴蝶印花高弹紧身裤</x:v>
      </x:c>
      <x:c r="E47" s="9" t="str">
        <x:v>ANNA SUI/安娜苏</x:v>
      </x:c>
      <x:c r="F47" s="9" t="str">
        <x:v>紧身裤</x:v>
      </x:c>
      <x:c r="G47" s="9" t="str">
        <x:v>运动紧身长裤</x:v>
      </x:c>
      <x:c r="H47" s="24" t="n">
        <x:v>1313.85</x:v>
      </x:c>
      <x:c r="I47" s="25" t="e">
        <x:f>HYPERLINK("https://item.taobao.com/item.htm?id=831809733453","打开商品")</x:f>
        <x:v>HYPERLINK is not implemented. linkLocation=https://item.taobao.com/item.htm?id=831809733453, friendlyName=打开商品</x:v>
      </x:c>
      <x:c r="J47" s="25" t="e">
        <x:f>HYPERLINK("https://data.zhiyitech.cn/itemDetail/overview/base?itemId=831809733453","打开知衣")</x:f>
        <x:v>HYPERLINK is not implemented. linkLocation=https://data.zhiyitech.cn/itemDetail/overview/base?itemId=831809733453, friendlyName=打开知衣</x:v>
      </x:c>
      <x:c r="K47" s="25" t="e">
        <x:f>HYPERLINK("https://img.alicdn.com/bao/uploaded/i3/2200697069868/O1CN01PdyVtQ2MlbNjNbfdp_!!4611686018427380012-0-item_pic.jpg","查看主图")</x:f>
        <x:v>HYPERLINK is not implemented. linkLocation=https://img.alicdn.com/bao/uploaded/i3/2200697069868/O1CN01PdyVtQ2MlbNjNbfdp_!!4611686018427380012-0-item_pic.jpg, friendlyName=查看主图</x:v>
      </x:c>
      <x:c r="L47" s="9" t="str">
        <x:v>无明确性别信息</x:v>
      </x:c>
      <x:c r="M47" s="9" t="str">
        <x:v>运动下装</x:v>
      </x:c>
      <x:c r="N47" s="9" t="str">
        <x:v>排行榜_商品榜_销售额榜_热销_运动服_休闲服装-运休闲服装-跑步短裤_2025-11-01_2026-10-31 (7).xlsx</x:v>
      </x:c>
      <x:c r="O47" s="9" t="str">
        <x:v>默认</x:v>
      </x:c>
      <x:c r="P47" s="9" t="n">
        <x:v>115</x:v>
      </x:c>
      <x:c r="Q47" s="9" t="str">
        <x:v>b4959cd74b14f4314b9473c91799b973e0b2ff209bedfdac04b6266e6a5d9ce9</x:v>
      </x:c>
      <x:c r="R47" s="9" t="str">
        <x:v>MIX_SPORT_AVGPAID_1300_1400_ANNUAL2026</x:v>
      </x:c>
      <x:c r="S47" s="9" t="str">
        <x:v>排行榜_商品榜_销售额榜_热销_运动服_休闲服装-运休闲服装-跑步短裤_2025-11-01_2026-10-31 (7).xlsx / 默认 / 第115行 / SHA256 b4959cd74b14f4314b9473c91799b973e0b2ff209bedfdac04b6266e6a5d9ce9</x:v>
      </x:c>
    </x:row>
    <x:row r="48" ht="58" customHeight="1">
      <x:c r="A48" s="23" t="str">
        <x:v>717770963686</x:v>
      </x:c>
      <x:c r="B48" s="22"/>
      <x:c r="C48" s="22"/>
      <x:c r="D48" s="9" t="str">
        <x:v>CEP轻羽款压缩裤高腰超薄紧身裤</x:v>
      </x:c>
      <x:c r="E48" s="9" t="str">
        <x:v>CEP（运动户外）</x:v>
      </x:c>
      <x:c r="F48" s="9" t="str">
        <x:v>紧身裤</x:v>
      </x:c>
      <x:c r="G48" s="9" t="str">
        <x:v>压缩紧身长裤</x:v>
      </x:c>
      <x:c r="H48" s="24" t="n">
        <x:v>971.5</x:v>
      </x:c>
      <x:c r="I48" s="25" t="e">
        <x:f>HYPERLINK("https://item.taobao.com/item.htm?id=717770963686","打开商品")</x:f>
        <x:v>HYPERLINK is not implemented. linkLocation=https://item.taobao.com/item.htm?id=717770963686, friendlyName=打开商品</x:v>
      </x:c>
      <x:c r="J48" s="25" t="e">
        <x:f>HYPERLINK("https://data.zhiyitech.cn/itemDetail/overview/base?itemId=717770963686","打开知衣")</x:f>
        <x:v>HYPERLINK is not implemented. linkLocation=https://data.zhiyitech.cn/itemDetail/overview/base?itemId=717770963686, friendlyName=打开知衣</x:v>
      </x:c>
      <x:c r="K48" s="25" t="e">
        <x:f>HYPERLINK("https://img.alicdn.com/bao/uploaded/i3/2206495001290/O1CN01btfGIm1LOrycYmcd8_!!4611686018427382474-0-item_pic.jpg","查看主图")</x:f>
        <x:v>HYPERLINK is not implemented. linkLocation=https://img.alicdn.com/bao/uploaded/i3/2206495001290/O1CN01btfGIm1LOrycYmcd8_!!4611686018427382474-0-item_pic.jpg, friendlyName=查看主图</x:v>
      </x:c>
      <x:c r="L48" s="9" t="str">
        <x:v>无明确性别信息</x:v>
      </x:c>
      <x:c r="M48" s="9" t="str">
        <x:v>瑜伽与紧身裤</x:v>
      </x:c>
      <x:c r="N48" s="9" t="str">
        <x:v>排行榜_商品榜_销售额榜_热销_运动服_休闲服装-健球迷用品-瑜伽长裤_2025-11-01_2026-10-31 (2).xlsx</x:v>
      </x:c>
      <x:c r="O48" s="9" t="str">
        <x:v>默认</x:v>
      </x:c>
      <x:c r="P48" s="9" t="n">
        <x:v>99</x:v>
      </x:c>
      <x:c r="Q48" s="9" t="str">
        <x:v>8cddb74b4b42ab56f275f05c92c7c706c83ff40bffff2914c8d64de594e32d80</x:v>
      </x:c>
      <x:c r="R48" s="9" t="str">
        <x:v>MIX_YOGA_AVGPAID_900_1000_ANNUAL2026</x:v>
      </x:c>
      <x:c r="S48" s="9" t="str">
        <x:v>排行榜_商品榜_销售额榜_热销_运动服_休闲服装-健球迷用品-瑜伽长裤_2025-11-01_2026-10-31 (2).xlsx / 默认 / 第99行 / SHA256 8cddb74b4b42ab56f275f05c92c7c706c83ff40bffff2914c8d64de594e32d80</x:v>
      </x:c>
    </x:row>
    <x:row r="49" ht="58" customHeight="1">
      <x:c r="A49" s="23" t="str">
        <x:v>1018622378808</x:v>
      </x:c>
      <x:c r="B49" s="22"/>
      <x:c r="C49" s="22"/>
      <x:c r="D49" s="9" t="str">
        <x:v>DESCENTE迪桑特BODY FLEX吸湿速干紧身瑜伽裤</x:v>
      </x:c>
      <x:c r="E49" s="9" t="str">
        <x:v>DESCENTE/迪桑特</x:v>
      </x:c>
      <x:c r="F49" s="9" t="str">
        <x:v>紧身裤</x:v>
      </x:c>
      <x:c r="G49" s="9" t="str">
        <x:v>运动紧身长裤</x:v>
      </x:c>
      <x:c r="H49" s="24" t="n">
        <x:v>1057.88</x:v>
      </x:c>
      <x:c r="I49" s="25" t="e">
        <x:f>HYPERLINK("https://item.taobao.com/item.htm?id=1018622378808","打开商品")</x:f>
        <x:v>HYPERLINK is not implemented. linkLocation=https://item.taobao.com/item.htm?id=1018622378808, friendlyName=打开商品</x:v>
      </x:c>
      <x:c r="J49" s="25" t="e">
        <x:f>HYPERLINK("https://data.zhiyitech.cn/itemDetail/overview/base?itemId=1018622378808","打开知衣")</x:f>
        <x:v>HYPERLINK is not implemented. linkLocation=https://data.zhiyitech.cn/itemDetail/overview/base?itemId=1018622378808, friendlyName=打开知衣</x:v>
      </x:c>
      <x:c r="K49" s="25" t="e">
        <x:f>HYPERLINK("https://img.alicdn.com/bao/uploaded/i3/3299471109/O1CN01rCXSi5bsglE43lmS_!!4611686018427383557-0-item_pic.jpg","查看主图")</x:f>
        <x:v>HYPERLINK is not implemented. linkLocation=https://img.alicdn.com/bao/uploaded/i3/3299471109/O1CN01rCXSi5bsglE43lmS_!!4611686018427383557-0-item_pic.jpg, friendlyName=查看主图</x:v>
      </x:c>
      <x:c r="L49" s="9" t="str">
        <x:v>无明确性别信息</x:v>
      </x:c>
      <x:c r="M49" s="9" t="str">
        <x:v>运动下装</x:v>
      </x:c>
      <x:c r="N49" s="9" t="str">
        <x:v>排行榜_商品榜_销售额榜_热销_运动服_休闲服装-运休闲服装-跑步短裤_2025-11-01_2026-10-31 (10).xlsx</x:v>
      </x:c>
      <x:c r="O49" s="9" t="str">
        <x:v>默认</x:v>
      </x:c>
      <x:c r="P49" s="9" t="n">
        <x:v>146</x:v>
      </x:c>
      <x:c r="Q49" s="9" t="str">
        <x:v>77c2723e3730f60e82908e61638dbb3700ba4d487e03331cf25303638bb2767e</x:v>
      </x:c>
      <x:c r="R49" s="9" t="str">
        <x:v>MIX_SPORT_AVGPAID_1000_1100_ANNUAL2026</x:v>
      </x:c>
      <x:c r="S49" s="9" t="str">
        <x:v>排行榜_商品榜_销售额榜_热销_运动服_休闲服装-运休闲服装-跑步短裤_2025-11-01_2026-10-31 (10).xlsx / 默认 / 第146行 / SHA256 77c2723e3730f60e82908e61638dbb3700ba4d487e03331cf25303638bb2767e</x:v>
      </x:c>
    </x:row>
    <x:row r="50" ht="58" customHeight="1">
      <x:c r="A50" s="23" t="str">
        <x:v>638526903308</x:v>
      </x:c>
      <x:c r="B50" s="22"/>
      <x:c r="C50" s="22"/>
      <x:c r="D50" s="9" t="str">
        <x:v>SKINS高强压缩裤跑步瑜伽裤长裤</x:v>
      </x:c>
      <x:c r="E50" s="9" t="str">
        <x:v>SKINS/斯金丝</x:v>
      </x:c>
      <x:c r="F50" s="9" t="str">
        <x:v>紧身裤</x:v>
      </x:c>
      <x:c r="G50" s="9" t="str">
        <x:v>压缩紧身长裤</x:v>
      </x:c>
      <x:c r="H50" s="24" t="n">
        <x:v>955.15</x:v>
      </x:c>
      <x:c r="I50" s="25" t="e">
        <x:f>HYPERLINK("https://item.taobao.com/item.htm?id=638526903308","打开商品")</x:f>
        <x:v>HYPERLINK is not implemented. linkLocation=https://item.taobao.com/item.htm?id=638526903308, friendlyName=打开商品</x:v>
      </x:c>
      <x:c r="J50" s="25" t="e">
        <x:f>HYPERLINK("https://data.zhiyitech.cn/itemDetail/overview/base?itemId=638526903308","打开知衣")</x:f>
        <x:v>HYPERLINK is not implemented. linkLocation=https://data.zhiyitech.cn/itemDetail/overview/base?itemId=638526903308, friendlyName=打开知衣</x:v>
      </x:c>
      <x:c r="K50" s="25" t="e">
        <x:f>HYPERLINK("https://img.alicdn.com/bao/uploaded/i2/2210438215602/O1CN01N7gkjb81s9B2vH2e_!!4611686018427385778-0-item_pic.jpg","查看主图")</x:f>
        <x:v>HYPERLINK is not implemented. linkLocation=https://img.alicdn.com/bao/uploaded/i2/2210438215602/O1CN01N7gkjb81s9B2vH2e_!!4611686018427385778-0-item_pic.jpg, friendlyName=查看主图</x:v>
      </x:c>
      <x:c r="L50" s="9" t="str">
        <x:v>无明确性别信息</x:v>
      </x:c>
      <x:c r="M50" s="9" t="str">
        <x:v>瑜伽与紧身裤</x:v>
      </x:c>
      <x:c r="N50" s="9" t="str">
        <x:v>排行榜_商品榜_销售额榜_热销_运动服_休闲服装-健球迷用品-瑜伽长裤_2025-11-01_2026-10-31 (2).xlsx</x:v>
      </x:c>
      <x:c r="O50" s="9" t="str">
        <x:v>默认</x:v>
      </x:c>
      <x:c r="P50" s="9" t="n">
        <x:v>67</x:v>
      </x:c>
      <x:c r="Q50" s="9" t="str">
        <x:v>8cddb74b4b42ab56f275f05c92c7c706c83ff40bffff2914c8d64de594e32d80</x:v>
      </x:c>
      <x:c r="R50" s="9" t="str">
        <x:v>MIX_YOGA_AVGPAID_900_1000_ANNUAL2026</x:v>
      </x:c>
      <x:c r="S50" s="9" t="str">
        <x:v>排行榜_商品榜_销售额榜_热销_运动服_休闲服装-健球迷用品-瑜伽长裤_2025-11-01_2026-10-31 (2).xlsx / 默认 / 第67行 / SHA256 8cddb74b4b42ab56f275f05c92c7c706c83ff40bffff2914c8d64de594e32d80</x:v>
      </x:c>
    </x:row>
    <x:row r="51" ht="58" customHeight="1">
      <x:c r="A51" s="23" t="str">
        <x:v>649403001049</x:v>
      </x:c>
      <x:c r="B51" s="22"/>
      <x:c r="C51" s="22"/>
      <x:c r="D51" s="9" t="str">
        <x:v>SKINS高强压缩裤运动恢复瑜伽裤</x:v>
      </x:c>
      <x:c r="E51" s="9" t="str">
        <x:v>SKINS/斯金丝</x:v>
      </x:c>
      <x:c r="F51" s="9" t="str">
        <x:v>紧身裤</x:v>
      </x:c>
      <x:c r="G51" s="9" t="str">
        <x:v>压缩紧身长裤</x:v>
      </x:c>
      <x:c r="H51" s="24" t="n">
        <x:v>975.27</x:v>
      </x:c>
      <x:c r="I51" s="25" t="e">
        <x:f>HYPERLINK("https://item.taobao.com/item.htm?id=649403001049","打开商品")</x:f>
        <x:v>HYPERLINK is not implemented. linkLocation=https://item.taobao.com/item.htm?id=649403001049, friendlyName=打开商品</x:v>
      </x:c>
      <x:c r="J51" s="25" t="e">
        <x:f>HYPERLINK("https://data.zhiyitech.cn/itemDetail/overview/base?itemId=649403001049","打开知衣")</x:f>
        <x:v>HYPERLINK is not implemented. linkLocation=https://data.zhiyitech.cn/itemDetail/overview/base?itemId=649403001049, friendlyName=打开知衣</x:v>
      </x:c>
      <x:c r="K51" s="25" t="e">
        <x:f>HYPERLINK("https://img.alicdn.com/bao/uploaded/i3/2210438215602/O1CN01QZPDtq1rFltjIyvZI_!!2210438215602.jpg","查看主图")</x:f>
        <x:v>HYPERLINK is not implemented. linkLocation=https://img.alicdn.com/bao/uploaded/i3/2210438215602/O1CN01QZPDtq1rFltjIyvZI_!!2210438215602.jpg, friendlyName=查看主图</x:v>
      </x:c>
      <x:c r="L51" s="9" t="str">
        <x:v>无明确性别信息</x:v>
      </x:c>
      <x:c r="M51" s="9" t="str">
        <x:v>瑜伽与紧身裤</x:v>
      </x:c>
      <x:c r="N51" s="9" t="str">
        <x:v>排行榜_商品榜_销售额榜_热销_运动服_休闲服装-健球迷用品-瑜伽长裤_2025-11-01_2026-10-31 (2).xlsx</x:v>
      </x:c>
      <x:c r="O51" s="9" t="str">
        <x:v>默认</x:v>
      </x:c>
      <x:c r="P51" s="9" t="n">
        <x:v>128</x:v>
      </x:c>
      <x:c r="Q51" s="9" t="str">
        <x:v>8cddb74b4b42ab56f275f05c92c7c706c83ff40bffff2914c8d64de594e32d80</x:v>
      </x:c>
      <x:c r="R51" s="9" t="str">
        <x:v>MIX_YOGA_AVGPAID_900_1000_ANNUAL2026</x:v>
      </x:c>
      <x:c r="S51" s="9" t="str">
        <x:v>排行榜_商品榜_销售额榜_热销_运动服_休闲服装-健球迷用品-瑜伽长裤_2025-11-01_2026-10-31 (2).xlsx / 默认 / 第128行 / SHA256 8cddb74b4b42ab56f275f05c92c7c706c83ff40bffff2914c8d64de594e32d80</x:v>
      </x:c>
    </x:row>
    <x:row r="52" ht="58" customHeight="1">
      <x:c r="A52" s="23" t="str">
        <x:v>943589558225</x:v>
      </x:c>
      <x:c r="B52" s="22"/>
      <x:c r="C52" s="22"/>
      <x:c r="D52" s="9" t="str">
        <x:v>安高若城市旅行防泼水轻量半身裙</x:v>
      </x:c>
      <x:c r="E52" s="9" t="str">
        <x:v>ANKORAU/安高若</x:v>
      </x:c>
      <x:c r="F52" s="9" t="str">
        <x:v>裙装</x:v>
      </x:c>
      <x:c r="G52" s="9" t="str">
        <x:v>运动半身裙</x:v>
      </x:c>
      <x:c r="H52" s="24" t="n">
        <x:v>1105.67</x:v>
      </x:c>
      <x:c r="I52" s="25" t="e">
        <x:f>HYPERLINK("https://item.taobao.com/item.htm?id=943589558225","打开商品")</x:f>
        <x:v>HYPERLINK is not implemented. linkLocation=https://item.taobao.com/item.htm?id=943589558225, friendlyName=打开商品</x:v>
      </x:c>
      <x:c r="J52" s="25" t="e">
        <x:f>HYPERLINK("https://data.zhiyitech.cn/itemDetail/overview/base?itemId=943589558225","打开知衣")</x:f>
        <x:v>HYPERLINK is not implemented. linkLocation=https://data.zhiyitech.cn/itemDetail/overview/base?itemId=943589558225, friendlyName=打开知衣</x:v>
      </x:c>
      <x:c r="K52" s="25" t="e">
        <x:f>HYPERLINK("https://img.alicdn.com/bao/uploaded/i4/3993860308/O1CN011OxkR0nk4PL2vH2e_!!3993860308.jpg","查看主图")</x:f>
        <x:v>HYPERLINK is not implemented. linkLocation=https://img.alicdn.com/bao/uploaded/i4/3993860308/O1CN011OxkR0nk4PL2vH2e_!!3993860308.jpg, friendlyName=查看主图</x:v>
      </x:c>
      <x:c r="L52" s="9" t="str">
        <x:v>无明确性别信息</x:v>
      </x:c>
      <x:c r="M52" s="9" t="str">
        <x:v>运动下装</x:v>
      </x:c>
      <x:c r="N52" s="9" t="str">
        <x:v>排行榜_商品榜_销售额榜_热销_运动服_休闲服装-运休闲服装-跑步短裤_2025-11-01_2026-10-31 (9).xlsx</x:v>
      </x:c>
      <x:c r="O52" s="9" t="str">
        <x:v>默认</x:v>
      </x:c>
      <x:c r="P52" s="9" t="n">
        <x:v>135</x:v>
      </x:c>
      <x:c r="Q52" s="9" t="str">
        <x:v>bf4c13b761e645dc5b709fecfe2eba562c597469bada8d60d13514dd26d590ba</x:v>
      </x:c>
      <x:c r="R52" s="9" t="str">
        <x:v>MIX_SPORT_AVGPAID_1100_1200_ANNUAL2026</x:v>
      </x:c>
      <x:c r="S52" s="9" t="str">
        <x:v>排行榜_商品榜_销售额榜_热销_运动服_休闲服装-运休闲服装-跑步短裤_2025-11-01_2026-10-31 (9).xlsx / 默认 / 第135行 / SHA256 bf4c13b761e645dc5b709fecfe2eba562c597469bada8d60d13514dd26d590ba</x:v>
      </x:c>
    </x:row>
    <x:row r="53" ht="58" customHeight="1">
      <x:c r="A53" s="23" t="str">
        <x:v>1025205282758</x:v>
      </x:c>
      <x:c r="B53" s="22"/>
      <x:c r="C53" s="22"/>
      <x:c r="D53" s="9" t="str">
        <x:v>ANNASUI安娜苏运动Master系列高尔夫运动短裙百褶半身裙吸湿速干</x:v>
      </x:c>
      <x:c r="E53" s="9" t="str">
        <x:v>ANNA SUI/安娜苏</x:v>
      </x:c>
      <x:c r="F53" s="9" t="str">
        <x:v>裙装</x:v>
      </x:c>
      <x:c r="G53" s="9" t="str">
        <x:v>运动半身裙</x:v>
      </x:c>
      <x:c r="H53" s="24" t="n">
        <x:v>1225</x:v>
      </x:c>
      <x:c r="I53" s="25" t="e">
        <x:f>HYPERLINK("https://item.taobao.com/item.htm?id=1025205282758","打开商品")</x:f>
        <x:v>HYPERLINK is not implemented. linkLocation=https://item.taobao.com/item.htm?id=1025205282758, friendlyName=打开商品</x:v>
      </x:c>
      <x:c r="J53" s="25" t="e">
        <x:f>HYPERLINK("https://data.zhiyitech.cn/itemDetail/overview/base?itemId=1025205282758","打开知衣")</x:f>
        <x:v>HYPERLINK is not implemented. linkLocation=https://data.zhiyitech.cn/itemDetail/overview/base?itemId=1025205282758, friendlyName=打开知衣</x:v>
      </x:c>
      <x:c r="K53" s="25" t="e">
        <x:f>HYPERLINK("https://img.alicdn.com/bao/uploaded/i4/2200697069868/O1CN01Q9DHYzg2ENC1chua_!!4611686018427380012-0-item_pic.jpg","查看主图")</x:f>
        <x:v>HYPERLINK is not implemented. linkLocation=https://img.alicdn.com/bao/uploaded/i4/2200697069868/O1CN01Q9DHYzg2ENC1chua_!!4611686018427380012-0-item_pic.jpg, friendlyName=查看主图</x:v>
      </x:c>
      <x:c r="L53" s="9" t="str">
        <x:v>无明确性别信息</x:v>
      </x:c>
      <x:c r="M53" s="9" t="str">
        <x:v>运动下装</x:v>
      </x:c>
      <x:c r="N53" s="9" t="str">
        <x:v>排行榜_商品榜_销售额榜_热销_运动服_休闲服装-运休闲服装-跑步短裤_2025-11-01_2026-10-31 (8).xlsx</x:v>
      </x:c>
      <x:c r="O53" s="9" t="str">
        <x:v>默认</x:v>
      </x:c>
      <x:c r="P53" s="9" t="n">
        <x:v>268</x:v>
      </x:c>
      <x:c r="Q53" s="9" t="str">
        <x:v>188467edd382ec56460cb456b88a35e4bc41edeb6d84588a2971ef0bea45a429</x:v>
      </x:c>
      <x:c r="R53" s="9" t="str">
        <x:v>MIX_SPORT_AVGPAID_1200_1300_ANNUAL2026</x:v>
      </x:c>
      <x:c r="S53" s="9" t="str">
        <x:v>排行榜_商品榜_销售额榜_热销_运动服_休闲服装-运休闲服装-跑步短裤_2025-11-01_2026-10-31 (8).xlsx / 默认 / 第268行 / SHA256 188467edd382ec56460cb456b88a35e4bc41edeb6d84588a2971ef0bea45a429</x:v>
      </x:c>
    </x:row>
    <x:row r="54" ht="58" customHeight="1">
      <x:c r="A54" s="23" t="str">
        <x:v>763179693832</x:v>
      </x:c>
      <x:c r="B54" s="22"/>
      <x:c r="C54" s="22"/>
      <x:c r="D54" s="9" t="str">
        <x:v>ANNA SUI安娜苏运动 经典安娜系列 新款秋冬包臀修身气质针织裙</x:v>
      </x:c>
      <x:c r="E54" s="9" t="str">
        <x:v>ANNA SUI/安娜苏</x:v>
      </x:c>
      <x:c r="F54" s="9" t="str">
        <x:v>裙装</x:v>
      </x:c>
      <x:c r="G54" s="9" t="str">
        <x:v>运动半身裙</x:v>
      </x:c>
      <x:c r="H54" s="24" t="n">
        <x:v>1288</x:v>
      </x:c>
      <x:c r="I54" s="25" t="e">
        <x:f>HYPERLINK("https://item.taobao.com/item.htm?id=763179693832","打开商品")</x:f>
        <x:v>HYPERLINK is not implemented. linkLocation=https://item.taobao.com/item.htm?id=763179693832, friendlyName=打开商品</x:v>
      </x:c>
      <x:c r="J54" s="25" t="e">
        <x:f>HYPERLINK("https://data.zhiyitech.cn/itemDetail/overview/base?itemId=763179693832","打开知衣")</x:f>
        <x:v>HYPERLINK is not implemented. linkLocation=https://data.zhiyitech.cn/itemDetail/overview/base?itemId=763179693832, friendlyName=打开知衣</x:v>
      </x:c>
      <x:c r="K54" s="25" t="e">
        <x:f>HYPERLINK("https://img.alicdn.com/bao/uploaded/i2/2200697069868/O1CN01RtlkdN2MlbUXlYGzn_!!2200697069868.jpg","查看主图")</x:f>
        <x:v>HYPERLINK is not implemented. linkLocation=https://img.alicdn.com/bao/uploaded/i2/2200697069868/O1CN01RtlkdN2MlbUXlYGzn_!!2200697069868.jpg, friendlyName=查看主图</x:v>
      </x:c>
      <x:c r="L54" s="9" t="str">
        <x:v>无明确性别信息</x:v>
      </x:c>
      <x:c r="M54" s="9" t="str">
        <x:v>运动下装</x:v>
      </x:c>
      <x:c r="N54" s="9" t="str">
        <x:v>排行榜_商品榜_销售额榜_热销_运动服_休闲服装-运休闲服装-跑步短裤_2025-11-01_2026-10-31 (8).xlsx</x:v>
      </x:c>
      <x:c r="O54" s="9" t="str">
        <x:v>默认</x:v>
      </x:c>
      <x:c r="P54" s="9" t="n">
        <x:v>206</x:v>
      </x:c>
      <x:c r="Q54" s="9" t="str">
        <x:v>188467edd382ec56460cb456b88a35e4bc41edeb6d84588a2971ef0bea45a429</x:v>
      </x:c>
      <x:c r="R54" s="9" t="str">
        <x:v>MIX_SPORT_AVGPAID_1200_1300_ANNUAL2026</x:v>
      </x:c>
      <x:c r="S54" s="9" t="str">
        <x:v>排行榜_商品榜_销售额榜_热销_运动服_休闲服装-运休闲服装-跑步短裤_2025-11-01_2026-10-31 (8).xlsx / 默认 / 第206行 / SHA256 188467edd382ec56460cb456b88a35e4bc41edeb6d84588a2971ef0bea45a429</x:v>
      </x:c>
    </x:row>
    <x:row r="55" ht="58" customHeight="1">
      <x:c r="A55" s="23" t="str">
        <x:v>772469349058</x:v>
      </x:c>
      <x:c r="B55" s="22"/>
      <x:c r="C55" s="22"/>
      <x:c r="D55" s="9" t="str">
        <x:v>安娜苏运动防走光A字百褶裙</x:v>
      </x:c>
      <x:c r="E55" s="9" t="str">
        <x:v>ANNA SUI/安娜苏</x:v>
      </x:c>
      <x:c r="F55" s="9" t="str">
        <x:v>裙装</x:v>
      </x:c>
      <x:c r="G55" s="9" t="str">
        <x:v>运动半身裙</x:v>
      </x:c>
      <x:c r="H55" s="24" t="n">
        <x:v>1149.16</x:v>
      </x:c>
      <x:c r="I55" s="25" t="e">
        <x:f>HYPERLINK("https://item.taobao.com/item.htm?id=772469349058","打开商品")</x:f>
        <x:v>HYPERLINK is not implemented. linkLocation=https://item.taobao.com/item.htm?id=772469349058, friendlyName=打开商品</x:v>
      </x:c>
      <x:c r="J55" s="25" t="e">
        <x:f>HYPERLINK("https://data.zhiyitech.cn/itemDetail/overview/base?itemId=772469349058","打开知衣")</x:f>
        <x:v>HYPERLINK is not implemented. linkLocation=https://data.zhiyitech.cn/itemDetail/overview/base?itemId=772469349058, friendlyName=打开知衣</x:v>
      </x:c>
      <x:c r="K55" s="25" t="e">
        <x:f>HYPERLINK("https://img.alicdn.com/bao/uploaded/i2/2200697069868/O1CN01wQkQg52MlbRQF8bzD_!!4611686018427380012-0-item_pic.jpg","查看主图")</x:f>
        <x:v>HYPERLINK is not implemented. linkLocation=https://img.alicdn.com/bao/uploaded/i2/2200697069868/O1CN01wQkQg52MlbRQF8bzD_!!4611686018427380012-0-item_pic.jpg, friendlyName=查看主图</x:v>
      </x:c>
      <x:c r="L55" s="9" t="str">
        <x:v>无明确性别信息</x:v>
      </x:c>
      <x:c r="M55" s="9" t="str">
        <x:v>运动下装</x:v>
      </x:c>
      <x:c r="N55" s="9" t="str">
        <x:v>排行榜_商品榜_销售额榜_热销_运动服_休闲服装-运休闲服装-跑步短裤_2025-11-01_2026-10-31 (9).xlsx</x:v>
      </x:c>
      <x:c r="O55" s="9" t="str">
        <x:v>默认</x:v>
      </x:c>
      <x:c r="P55" s="9" t="n">
        <x:v>267</x:v>
      </x:c>
      <x:c r="Q55" s="9" t="str">
        <x:v>bf4c13b761e645dc5b709fecfe2eba562c597469bada8d60d13514dd26d590ba</x:v>
      </x:c>
      <x:c r="R55" s="9" t="str">
        <x:v>MIX_SPORT_AVGPAID_1100_1200_ANNUAL2026</x:v>
      </x:c>
      <x:c r="S55" s="9" t="str">
        <x:v>排行榜_商品榜_销售额榜_热销_运动服_休闲服装-运休闲服装-跑步短裤_2025-11-01_2026-10-31 (9).xlsx / 默认 / 第267行 / SHA256 bf4c13b761e645dc5b709fecfe2eba562c597469bada8d60d13514dd26d590ba</x:v>
      </x:c>
    </x:row>
    <x:row r="56" ht="58" customHeight="1">
      <x:c r="A56" s="23" t="str">
        <x:v>831609658296</x:v>
      </x:c>
      <x:c r="B56" s="22"/>
      <x:c r="C56" s="22"/>
      <x:c r="D56" s="9" t="str">
        <x:v>ANNA SUI修身运动百褶裙</x:v>
      </x:c>
      <x:c r="E56" s="9" t="str">
        <x:v>ANNA SUI/安娜苏</x:v>
      </x:c>
      <x:c r="F56" s="9" t="str">
        <x:v>裙装</x:v>
      </x:c>
      <x:c r="G56" s="9" t="str">
        <x:v>运动半身裙</x:v>
      </x:c>
      <x:c r="H56" s="24" t="n">
        <x:v>1081.98</x:v>
      </x:c>
      <x:c r="I56" s="25" t="e">
        <x:f>HYPERLINK("https://item.taobao.com/item.htm?id=831609658296","打开商品")</x:f>
        <x:v>HYPERLINK is not implemented. linkLocation=https://item.taobao.com/item.htm?id=831609658296, friendlyName=打开商品</x:v>
      </x:c>
      <x:c r="J56" s="25" t="e">
        <x:f>HYPERLINK("https://data.zhiyitech.cn/itemDetail/overview/base?itemId=831609658296","打开知衣")</x:f>
        <x:v>HYPERLINK is not implemented. linkLocation=https://data.zhiyitech.cn/itemDetail/overview/base?itemId=831609658296, friendlyName=打开知衣</x:v>
      </x:c>
      <x:c r="K56" s="25" t="e">
        <x:f>HYPERLINK("https://img.alicdn.com/bao/uploaded/i3/2200697069868/O1CN01ZiNumv2MlbMxEWhs3_!!0-item_pic.jpg","查看主图")</x:f>
        <x:v>HYPERLINK is not implemented. linkLocation=https://img.alicdn.com/bao/uploaded/i3/2200697069868/O1CN01ZiNumv2MlbMxEWhs3_!!0-item_pic.jpg, friendlyName=查看主图</x:v>
      </x:c>
      <x:c r="L56" s="9" t="str">
        <x:v>无明确性别信息</x:v>
      </x:c>
      <x:c r="M56" s="9" t="str">
        <x:v>运动下装</x:v>
      </x:c>
      <x:c r="N56" s="9" t="str">
        <x:v>排行榜_商品榜_销售额榜_热销_运动服_休闲服装-运休闲服装-跑步短裤_2025-11-01_2026-10-31 (10).xlsx</x:v>
      </x:c>
      <x:c r="O56" s="9" t="str">
        <x:v>默认</x:v>
      </x:c>
      <x:c r="P56" s="9" t="n">
        <x:v>431</x:v>
      </x:c>
      <x:c r="Q56" s="9" t="str">
        <x:v>77c2723e3730f60e82908e61638dbb3700ba4d487e03331cf25303638bb2767e</x:v>
      </x:c>
      <x:c r="R56" s="9" t="str">
        <x:v>MIX_SPORT_AVGPAID_1000_1100_ANNUAL2026</x:v>
      </x:c>
      <x:c r="S56" s="9" t="str">
        <x:v>排行榜_商品榜_销售额榜_热销_运动服_休闲服装-运休闲服装-跑步短裤_2025-11-01_2026-10-31 (10).xlsx / 默认 / 第431行 / SHA256 77c2723e3730f60e82908e61638dbb3700ba4d487e03331cf25303638bb2767e</x:v>
      </x:c>
    </x:row>
    <x:row r="57" ht="58" customHeight="1">
      <x:c r="A57" s="23" t="str">
        <x:v>831613790342</x:v>
      </x:c>
      <x:c r="B57" s="22"/>
      <x:c r="C57" s="22"/>
      <x:c r="D57" s="9" t="str">
        <x:v>ANNA SUI运动A字版型百褶裙</x:v>
      </x:c>
      <x:c r="E57" s="9" t="str">
        <x:v>ANNA SUI/安娜苏</x:v>
      </x:c>
      <x:c r="F57" s="9" t="str">
        <x:v>裙装</x:v>
      </x:c>
      <x:c r="G57" s="9" t="str">
        <x:v>运动半身裙</x:v>
      </x:c>
      <x:c r="H57" s="24" t="n">
        <x:v>1100.32</x:v>
      </x:c>
      <x:c r="I57" s="25" t="e">
        <x:f>HYPERLINK("https://item.taobao.com/item.htm?id=831613790342","打开商品")</x:f>
        <x:v>HYPERLINK is not implemented. linkLocation=https://item.taobao.com/item.htm?id=831613790342, friendlyName=打开商品</x:v>
      </x:c>
      <x:c r="J57" s="25" t="e">
        <x:f>HYPERLINK("https://data.zhiyitech.cn/itemDetail/overview/base?itemId=831613790342","打开知衣")</x:f>
        <x:v>HYPERLINK is not implemented. linkLocation=https://data.zhiyitech.cn/itemDetail/overview/base?itemId=831613790342, friendlyName=打开知衣</x:v>
      </x:c>
      <x:c r="K57" s="25" t="e">
        <x:f>HYPERLINK("https://img.alicdn.com/bao/uploaded/i2/2200697069868/O1CN01eUPac72MlbMw38SxX_!!0-item_pic.jpg","查看主图")</x:f>
        <x:v>HYPERLINK is not implemented. linkLocation=https://img.alicdn.com/bao/uploaded/i2/2200697069868/O1CN01eUPac72MlbMw38SxX_!!0-item_pic.jpg, friendlyName=查看主图</x:v>
      </x:c>
      <x:c r="L57" s="9" t="str">
        <x:v>无明确性别信息</x:v>
      </x:c>
      <x:c r="M57" s="9" t="str">
        <x:v>运动下装</x:v>
      </x:c>
      <x:c r="N57" s="9" t="str">
        <x:v>排行榜_商品榜_销售额榜_热销_运动服_休闲服装-运休闲服装-跑步短裤_2025-11-01_2026-10-31 (9).xlsx</x:v>
      </x:c>
      <x:c r="O57" s="9" t="str">
        <x:v>默认</x:v>
      </x:c>
      <x:c r="P57" s="9" t="n">
        <x:v>443</x:v>
      </x:c>
      <x:c r="Q57" s="9" t="str">
        <x:v>bf4c13b761e645dc5b709fecfe2eba562c597469bada8d60d13514dd26d590ba</x:v>
      </x:c>
      <x:c r="R57" s="9" t="str">
        <x:v>MIX_SPORT_AVGPAID_1100_1200_ANNUAL2026</x:v>
      </x:c>
      <x:c r="S57" s="9" t="str">
        <x:v>排行榜_商品榜_销售额榜_热销_运动服_休闲服装-运休闲服装-跑步短裤_2025-11-01_2026-10-31 (9).xlsx / 默认 / 第443行 / SHA256 bf4c13b761e645dc5b709fecfe2eba562c597469bada8d60d13514dd26d590ba</x:v>
      </x:c>
    </x:row>
    <x:row r="58" ht="58" customHeight="1">
      <x:c r="A58" s="23" t="str">
        <x:v>905769234163</x:v>
      </x:c>
      <x:c r="B58" s="22"/>
      <x:c r="C58" s="22"/>
      <x:c r="D58" s="9" t="str">
        <x:v>安娜苏运动户外运动防泼水半身裙</x:v>
      </x:c>
      <x:c r="E58" s="9" t="str">
        <x:v>ANNA SUI/安娜苏</x:v>
      </x:c>
      <x:c r="F58" s="9" t="str">
        <x:v>裙装</x:v>
      </x:c>
      <x:c r="G58" s="9" t="str">
        <x:v>运动半身裙</x:v>
      </x:c>
      <x:c r="H58" s="24" t="n">
        <x:v>1600</x:v>
      </x:c>
      <x:c r="I58" s="25" t="e">
        <x:f>HYPERLINK("https://item.taobao.com/item.htm?id=905769234163","打开商品")</x:f>
        <x:v>HYPERLINK is not implemented. linkLocation=https://item.taobao.com/item.htm?id=905769234163, friendlyName=打开商品</x:v>
      </x:c>
      <x:c r="J58" s="25" t="e">
        <x:f>HYPERLINK("https://data.zhiyitech.cn/itemDetail/overview/base?itemId=905769234163","打开知衣")</x:f>
        <x:v>HYPERLINK is not implemented. linkLocation=https://data.zhiyitech.cn/itemDetail/overview/base?itemId=905769234163, friendlyName=打开知衣</x:v>
      </x:c>
      <x:c r="K58" s="25" t="e">
        <x:f>HYPERLINK("https://img.alicdn.com/tps/i3/2200697069868/O1CN01Kb0mz82MlbQHWnNrx_!!4611686018427380012-0-item_pic.jpg","查看主图")</x:f>
        <x:v>HYPERLINK is not implemented. linkLocation=https://img.alicdn.com/tps/i3/2200697069868/O1CN01Kb0mz82MlbQHWnNrx_!!4611686018427380012-0-item_pic.jpg, friendlyName=查看主图</x:v>
      </x:c>
      <x:c r="L58" s="9" t="str">
        <x:v>无明确性别信息</x:v>
      </x:c>
      <x:c r="M58" s="9" t="str">
        <x:v>运动下装</x:v>
      </x:c>
      <x:c r="N58" s="9" t="str">
        <x:v>排行榜_商品榜_销售额榜_热销_运动服_休闲服装-运休闲服装-跑步短裤_2025-11-01_2026-10-31 (4).xlsx</x:v>
      </x:c>
      <x:c r="O58" s="9" t="str">
        <x:v>默认</x:v>
      </x:c>
      <x:c r="P58" s="9" t="n">
        <x:v>56</x:v>
      </x:c>
      <x:c r="Q58" s="9" t="str">
        <x:v>f87107da07f2a69cacdf5d1934c6ee6199ee509824961182157054c4707072d8</x:v>
      </x:c>
      <x:c r="R58" s="9" t="str">
        <x:v>MIX_SPORT_AVGPAID_1500_1600_ANNUAL2026；MIX_SPORT_AVGPAID_1600_1700_ANNUAL2026</x:v>
      </x:c>
      <x:c r="S58" s="9" t="str">
        <x:v>排行榜_商品榜_销售额榜_热销_运动服_休闲服装-运休闲服装-跑步短裤_2025-11-01_2026-10-31 (4).xlsx / 默认 / 第56行 / SHA256 f87107da07f2a69cacdf5d1934c6ee6199ee509824961182157054c4707072d8
排行榜_商品榜_销售额榜_热销_运动服_休闲服装-运休闲服装-跑步短裤_2025-11-01_2026-10-31 (5).xlsx / 默认 / 第135行 / SHA256 9ad7424665e3f8b592ed8cec3e99707eea5b9bd2316d324ab5977c56b4039ec9</x:v>
      </x:c>
    </x:row>
    <x:row r="59" ht="58" customHeight="1">
      <x:c r="A59" s="23" t="str">
        <x:v>926843924119</x:v>
      </x:c>
      <x:c r="B59" s="22"/>
      <x:c r="C59" s="22"/>
      <x:c r="D59" s="9" t="str">
        <x:v>【夏日狂欢】安娜苏运动 工装防晒半身裙户外裙休闲吸湿速干</x:v>
      </x:c>
      <x:c r="E59" s="9" t="str">
        <x:v>ANNA SUI/安娜苏</x:v>
      </x:c>
      <x:c r="F59" s="9" t="str">
        <x:v>裙装</x:v>
      </x:c>
      <x:c r="G59" s="9" t="str">
        <x:v>运动半身裙</x:v>
      </x:c>
      <x:c r="H59" s="24" t="n">
        <x:v>1225</x:v>
      </x:c>
      <x:c r="I59" s="25" t="e">
        <x:f>HYPERLINK("https://item.taobao.com/item.htm?id=926843924119","打开商品")</x:f>
        <x:v>HYPERLINK is not implemented. linkLocation=https://item.taobao.com/item.htm?id=926843924119, friendlyName=打开商品</x:v>
      </x:c>
      <x:c r="J59" s="25" t="e">
        <x:f>HYPERLINK("https://data.zhiyitech.cn/itemDetail/overview/base?itemId=926843924119","打开知衣")</x:f>
        <x:v>HYPERLINK is not implemented. linkLocation=https://data.zhiyitech.cn/itemDetail/overview/base?itemId=926843924119, friendlyName=打开知衣</x:v>
      </x:c>
      <x:c r="K59" s="25" t="e">
        <x:f>HYPERLINK("https://img.alicdn.com/tps/i2/2200697069868/O1CN013kJE3Z2MlbQxM7MkT_!!4611686018427380012-0-item_pic.jpg","查看主图")</x:f>
        <x:v>HYPERLINK is not implemented. linkLocation=https://img.alicdn.com/tps/i2/2200697069868/O1CN013kJE3Z2MlbQxM7MkT_!!4611686018427380012-0-item_pic.jpg, friendlyName=查看主图</x:v>
      </x:c>
      <x:c r="L59" s="9" t="str">
        <x:v>无明确性别信息</x:v>
      </x:c>
      <x:c r="M59" s="9" t="str">
        <x:v>运动下装</x:v>
      </x:c>
      <x:c r="N59" s="9" t="str">
        <x:v>排行榜_商品榜_销售额榜_热销_运动服_休闲服装-运休闲服装-跑步短裤_2025-11-01_2026-10-31 (8).xlsx</x:v>
      </x:c>
      <x:c r="O59" s="9" t="str">
        <x:v>默认</x:v>
      </x:c>
      <x:c r="P59" s="9" t="n">
        <x:v>267</x:v>
      </x:c>
      <x:c r="Q59" s="9" t="str">
        <x:v>188467edd382ec56460cb456b88a35e4bc41edeb6d84588a2971ef0bea45a429</x:v>
      </x:c>
      <x:c r="R59" s="9" t="str">
        <x:v>MIX_SPORT_AVGPAID_1200_1300_ANNUAL2026</x:v>
      </x:c>
      <x:c r="S59" s="9" t="str">
        <x:v>排行榜_商品榜_销售额榜_热销_运动服_休闲服装-运休闲服装-跑步短裤_2025-11-01_2026-10-31 (8).xlsx / 默认 / 第267行 / SHA256 188467edd382ec56460cb456b88a35e4bc41edeb6d84588a2971ef0bea45a429</x:v>
      </x:c>
    </x:row>
    <x:row r="60" ht="58" customHeight="1">
      <x:c r="A60" s="23" t="str">
        <x:v>959660541066</x:v>
      </x:c>
      <x:c r="B60" s="22"/>
      <x:c r="C60" s="22"/>
      <x:c r="D60" s="9" t="str">
        <x:v>安娜苏运动双层裙裤休闲通勤</x:v>
      </x:c>
      <x:c r="E60" s="9" t="str">
        <x:v>ANNA SUI/安娜苏</x:v>
      </x:c>
      <x:c r="F60" s="9" t="str">
        <x:v>裙装</x:v>
      </x:c>
      <x:c r="G60" s="9" t="str">
        <x:v>运动裙裤</x:v>
      </x:c>
      <x:c r="H60" s="24" t="n">
        <x:v>1028.57</x:v>
      </x:c>
      <x:c r="I60" s="25" t="e">
        <x:f>HYPERLINK("https://item.taobao.com/item.htm?id=959660541066","打开商品")</x:f>
        <x:v>HYPERLINK is not implemented. linkLocation=https://item.taobao.com/item.htm?id=959660541066, friendlyName=打开商品</x:v>
      </x:c>
      <x:c r="J60" s="25" t="e">
        <x:f>HYPERLINK("https://data.zhiyitech.cn/itemDetail/overview/base?itemId=959660541066","打开知衣")</x:f>
        <x:v>HYPERLINK is not implemented. linkLocation=https://data.zhiyitech.cn/itemDetail/overview/base?itemId=959660541066, friendlyName=打开知衣</x:v>
      </x:c>
      <x:c r="K60" s="25" t="e">
        <x:f>HYPERLINK("https://img.alicdn.com/bao/uploaded/i3/2200697069868/O1CN01PgBd6HNeC8J1chua_!!2200697069868.jpg","查看主图")</x:f>
        <x:v>HYPERLINK is not implemented. linkLocation=https://img.alicdn.com/bao/uploaded/i3/2200697069868/O1CN01PgBd6HNeC8J1chua_!!2200697069868.jpg, friendlyName=查看主图</x:v>
      </x:c>
      <x:c r="L60" s="9" t="str">
        <x:v>无明确性别信息</x:v>
      </x:c>
      <x:c r="M60" s="9" t="str">
        <x:v>运动下装</x:v>
      </x:c>
      <x:c r="N60" s="9" t="str">
        <x:v>排行榜_商品榜_销售额榜_热销_运动服_休闲服装-运休闲服装-跑步短裤_2025-11-01_2026-10-31 (10).xlsx</x:v>
      </x:c>
      <x:c r="O60" s="9" t="str">
        <x:v>默认</x:v>
      </x:c>
      <x:c r="P60" s="9" t="n">
        <x:v>466</x:v>
      </x:c>
      <x:c r="Q60" s="9" t="str">
        <x:v>77c2723e3730f60e82908e61638dbb3700ba4d487e03331cf25303638bb2767e</x:v>
      </x:c>
      <x:c r="R60" s="9" t="str">
        <x:v>MIX_SPORT_AVGPAID_1000_1100_ANNUAL2026</x:v>
      </x:c>
      <x:c r="S60" s="9" t="str">
        <x:v>排行榜_商品榜_销售额榜_热销_运动服_休闲服装-运休闲服装-跑步短裤_2025-11-01_2026-10-31 (10).xlsx / 默认 / 第466行 / SHA256 77c2723e3730f60e82908e61638dbb3700ba4d487e03331cf25303638bb2767e</x:v>
      </x:c>
    </x:row>
    <x:row r="61" ht="58" customHeight="1">
      <x:c r="A61" s="23" t="str">
        <x:v>1016506478520</x:v>
      </x:c>
      <x:c r="B61" s="22"/>
      <x:c r="C61" s="22"/>
      <x:c r="D61" s="9" t="str">
        <x:v>【石昱婷同款】迪桑特高尔夫 PRO系列凉感A字短裙春夏新品</x:v>
      </x:c>
      <x:c r="E61" s="9" t="str">
        <x:v>DESCENTE/迪桑特</x:v>
      </x:c>
      <x:c r="F61" s="9" t="str">
        <x:v>裙装</x:v>
      </x:c>
      <x:c r="G61" s="9" t="str">
        <x:v>运动半身裙</x:v>
      </x:c>
      <x:c r="H61" s="24" t="n">
        <x:v>1788.52</x:v>
      </x:c>
      <x:c r="I61" s="25" t="e">
        <x:f>HYPERLINK("https://item.taobao.com/item.htm?id=1016506478520","打开商品")</x:f>
        <x:v>HYPERLINK is not implemented. linkLocation=https://item.taobao.com/item.htm?id=1016506478520, friendlyName=打开商品</x:v>
      </x:c>
      <x:c r="J61" s="25" t="e">
        <x:f>HYPERLINK("https://data.zhiyitech.cn/itemDetail/overview/base?itemId=1016506478520","打开知衣")</x:f>
        <x:v>HYPERLINK is not implemented. linkLocation=https://data.zhiyitech.cn/itemDetail/overview/base?itemId=1016506478520, friendlyName=打开知衣</x:v>
      </x:c>
      <x:c r="K61" s="25" t="e">
        <x:f>HYPERLINK("https://img.alicdn.com/bao/uploaded/i1/3299471109/O1CN01eUfmapUrzaF43lmS_!!4611686018427383557-0-item_pic.jpg","查看主图")</x:f>
        <x:v>HYPERLINK is not implemented. linkLocation=https://img.alicdn.com/bao/uploaded/i1/3299471109/O1CN01eUfmapUrzaF43lmS_!!4611686018427383557-0-item_pic.jpg, friendlyName=查看主图</x:v>
      </x:c>
      <x:c r="L61" s="9" t="str">
        <x:v>无明确性别信息</x:v>
      </x:c>
      <x:c r="M61" s="9" t="str">
        <x:v>运动下装</x:v>
      </x:c>
      <x:c r="N61" s="9" t="str">
        <x:v>排行榜_商品榜_销售额榜_热销_运动服_休闲服装-运休闲服装-跑步短裤_2025-11-01_2026-10-31 (3).xlsx</x:v>
      </x:c>
      <x:c r="O61" s="9" t="str">
        <x:v>默认</x:v>
      </x:c>
      <x:c r="P61" s="9" t="n">
        <x:v>48</x:v>
      </x:c>
      <x:c r="Q61" s="9" t="str">
        <x:v>75c32f8ec048c7ff6d1862fee5bc8a3793f270522255a1b54f34ebdea84168ec</x:v>
      </x:c>
      <x:c r="R61" s="9" t="str">
        <x:v>MIX_SPORT_AVGPAID_1700_1800_ANNUAL2026</x:v>
      </x:c>
      <x:c r="S61" s="9" t="str">
        <x:v>排行榜_商品榜_销售额榜_热销_运动服_休闲服装-运休闲服装-跑步短裤_2025-11-01_2026-10-31 (3).xlsx / 默认 / 第48行 / SHA256 75c32f8ec048c7ff6d1862fee5bc8a3793f270522255a1b54f34ebdea84168ec</x:v>
      </x:c>
    </x:row>
    <x:row r="62" ht="58" customHeight="1">
      <x:c r="A62" s="23" t="str">
        <x:v>918716394960</x:v>
      </x:c>
      <x:c r="B62" s="22"/>
      <x:c r="C62" s="22"/>
      <x:c r="D62" s="9" t="str">
        <x:v>【石昱婷同款】迪桑特高尔夫 PRO 凉感防晒短裙早秋</x:v>
      </x:c>
      <x:c r="E62" s="9" t="str">
        <x:v>DESCENTE/迪桑特</x:v>
      </x:c>
      <x:c r="F62" s="9" t="str">
        <x:v>裙装</x:v>
      </x:c>
      <x:c r="G62" s="9" t="str">
        <x:v>运动半身裙</x:v>
      </x:c>
      <x:c r="H62" s="24" t="n">
        <x:v>1927.45</x:v>
      </x:c>
      <x:c r="I62" s="25" t="e">
        <x:f>HYPERLINK("https://item.taobao.com/item.htm?id=918716394960","打开商品")</x:f>
        <x:v>HYPERLINK is not implemented. linkLocation=https://item.taobao.com/item.htm?id=918716394960, friendlyName=打开商品</x:v>
      </x:c>
      <x:c r="J62" s="25" t="e">
        <x:f>HYPERLINK("https://data.zhiyitech.cn/itemDetail/overview/base?itemId=918716394960","打开知衣")</x:f>
        <x:v>HYPERLINK is not implemented. linkLocation=https://data.zhiyitech.cn/itemDetail/overview/base?itemId=918716394960, friendlyName=打开知衣</x:v>
      </x:c>
      <x:c r="K62" s="25" t="e">
        <x:f>HYPERLINK("https://img.alicdn.com/bao/uploaded/i2/3299471109/O1CN01keP8cLnG9CB2b8G8_!!3299471109.jpg","查看主图")</x:f>
        <x:v>HYPERLINK is not implemented. linkLocation=https://img.alicdn.com/bao/uploaded/i2/3299471109/O1CN01keP8cLnG9CB2b8G8_!!3299471109.jpg, friendlyName=查看主图</x:v>
      </x:c>
      <x:c r="L62" s="9" t="str">
        <x:v>无明确性别信息</x:v>
      </x:c>
      <x:c r="M62" s="9" t="str">
        <x:v>运动下装</x:v>
      </x:c>
      <x:c r="N62" s="9" t="str">
        <x:v>排行榜_商品榜_销售额榜_热销_运动服_休闲服装-运休闲服装-跑步短裤_2025-11-01_2026-10-31 (1).xlsx</x:v>
      </x:c>
      <x:c r="O62" s="9" t="str">
        <x:v>默认</x:v>
      </x:c>
      <x:c r="P62" s="9" t="n">
        <x:v>10</x:v>
      </x:c>
      <x:c r="Q62" s="9" t="str">
        <x:v>9d582a2a182ec48ec8a355657c0bf2d8e8f39ae4b7c96aaa441f0d48c6b3d994</x:v>
      </x:c>
      <x:c r="R62" s="9" t="str">
        <x:v>MIX_SPORT_AVGPAID_1900_2000_ANNUAL2026</x:v>
      </x:c>
      <x:c r="S62" s="9" t="str">
        <x:v>排行榜_商品榜_销售额榜_热销_运动服_休闲服装-运休闲服装-跑步短裤_2025-11-01_2026-10-31 (1).xlsx / 默认 / 第10行 / SHA256 9d582a2a182ec48ec8a355657c0bf2d8e8f39ae4b7c96aaa441f0d48c6b3d994</x:v>
      </x:c>
    </x:row>
    <x:row r="63" ht="58" customHeight="1">
      <x:c r="A63" s="23" t="str">
        <x:v>1017335625670</x:v>
      </x:c>
      <x:c r="B63" s="22"/>
      <x:c r="C63" s="22"/>
      <x:c r="D63" s="9" t="str">
        <x:v>DESCENTEGOLF 迪桑特高尔夫 S-CORE系列裙裤两件套春夏新品</x:v>
      </x:c>
      <x:c r="E63" s="9" t="str">
        <x:v>DESCENTEGOLF</x:v>
      </x:c>
      <x:c r="F63" s="9" t="str">
        <x:v>裙装</x:v>
      </x:c>
      <x:c r="G63" s="9" t="str">
        <x:v>运动裙裤</x:v>
      </x:c>
      <x:c r="H63" s="24" t="n">
        <x:v>2730.93</x:v>
      </x:c>
      <x:c r="I63" s="25" t="e">
        <x:f>HYPERLINK("https://item.taobao.com/item.htm?id=1017335625670","打开商品")</x:f>
        <x:v>HYPERLINK is not implemented. linkLocation=https://item.taobao.com/item.htm?id=1017335625670, friendlyName=打开商品</x:v>
      </x:c>
      <x:c r="J63" s="25" t="e">
        <x:f>HYPERLINK("https://data.zhiyitech.cn/itemDetail/overview/base?itemId=1017335625670","打开知衣")</x:f>
        <x:v>HYPERLINK is not implemented. linkLocation=https://data.zhiyitech.cn/itemDetail/overview/base?itemId=1017335625670, friendlyName=打开知衣</x:v>
      </x:c>
      <x:c r="K63" s="25" t="e">
        <x:f>HYPERLINK("https://img.alicdn.com/bao/uploaded/i3/2212452067050/O1CN01V2xXVV9Ih9B43lmS_!!4611686018427381482-0-item_pic.jpg","查看主图")</x:f>
        <x:v>HYPERLINK is not implemented. linkLocation=https://img.alicdn.com/bao/uploaded/i3/2212452067050/O1CN01V2xXVV9Ih9B43lmS_!!4611686018427381482-0-item_pic.jpg, friendlyName=查看主图</x:v>
      </x:c>
      <x:c r="L63" s="9" t="str">
        <x:v>无明确性别信息</x:v>
      </x:c>
      <x:c r="M63" s="9" t="str">
        <x:v>高尔夫下装</x:v>
      </x:c>
      <x:c r="N63" s="9" t="str">
        <x:v>排行榜_商品榜_销售额榜_热销_运动_瑜伽_健身_球球迷用品-高尔夫裙_2025-11-01_2026-10-31(1).xlsx</x:v>
      </x:c>
      <x:c r="O63" s="9" t="str">
        <x:v>默认</x:v>
      </x:c>
      <x:c r="P63" s="9" t="n">
        <x:v>15</x:v>
      </x:c>
      <x:c r="Q63" s="9" t="str">
        <x:v>76a41cee55316a5b2ae8ed33466d173d90824bcf6f377cac0b9f7eed45c02df4</x:v>
      </x:c>
      <x:c r="R63" s="9" t="str">
        <x:v>MIX_GOLF_AVGPAID_1500_PLUS_ANNUAL2026</x:v>
      </x:c>
      <x:c r="S63" s="9" t="str">
        <x:v>排行榜_商品榜_销售额榜_热销_运动_瑜伽_健身_球球迷用品-高尔夫裙_2025-11-01_2026-10-31(1).xlsx / 默认 / 第15行 / SHA256 76a41cee55316a5b2ae8ed33466d173d90824bcf6f377cac0b9f7eed45c02df4</x:v>
      </x:c>
    </x:row>
    <x:row r="64" ht="58" customHeight="1">
      <x:c r="A64" s="23" t="str">
        <x:v>1018104076511</x:v>
      </x:c>
      <x:c r="B64" s="22"/>
      <x:c r="C64" s="22"/>
      <x:c r="D64" s="9" t="str">
        <x:v>【石昱婷同款】迪桑特高尔夫 PRO系列凉感A字短裙春夏新品</x:v>
      </x:c>
      <x:c r="E64" s="9" t="str">
        <x:v>DESCENTEGOLF</x:v>
      </x:c>
      <x:c r="F64" s="9" t="str">
        <x:v>裙装</x:v>
      </x:c>
      <x:c r="G64" s="9" t="str">
        <x:v>高尔夫裙</x:v>
      </x:c>
      <x:c r="H64" s="24" t="n">
        <x:v>1930.34</x:v>
      </x:c>
      <x:c r="I64" s="25" t="e">
        <x:f>HYPERLINK("https://item.taobao.com/item.htm?id=1018104076511","打开商品")</x:f>
        <x:v>HYPERLINK is not implemented. linkLocation=https://item.taobao.com/item.htm?id=1018104076511, friendlyName=打开商品</x:v>
      </x:c>
      <x:c r="J64" s="25" t="e">
        <x:f>HYPERLINK("https://data.zhiyitech.cn/itemDetail/overview/base?itemId=1018104076511","打开知衣")</x:f>
        <x:v>HYPERLINK is not implemented. linkLocation=https://data.zhiyitech.cn/itemDetail/overview/base?itemId=1018104076511, friendlyName=打开知衣</x:v>
      </x:c>
      <x:c r="K64" s="25" t="e">
        <x:f>HYPERLINK("https://img.alicdn.com/bao/uploaded/i1/2212452067050/O1CN01l0m4jIlYQnE43lmS_!!4611686018427381482-0-item_pic.jpg","查看主图")</x:f>
        <x:v>HYPERLINK is not implemented. linkLocation=https://img.alicdn.com/bao/uploaded/i1/2212452067050/O1CN01l0m4jIlYQnE43lmS_!!4611686018427381482-0-item_pic.jpg, friendlyName=查看主图</x:v>
      </x:c>
      <x:c r="L64" s="9" t="str">
        <x:v>无明确性别信息</x:v>
      </x:c>
      <x:c r="M64" s="9" t="str">
        <x:v>高尔夫下装</x:v>
      </x:c>
      <x:c r="N64" s="9" t="str">
        <x:v>排行榜_商品榜_销售额榜_热销_运动_瑜伽_健身_球球迷用品-高尔夫裙_2025-11-01_2026-10-31(1).xlsx</x:v>
      </x:c>
      <x:c r="O64" s="9" t="str">
        <x:v>默认</x:v>
      </x:c>
      <x:c r="P64" s="9" t="n">
        <x:v>37</x:v>
      </x:c>
      <x:c r="Q64" s="9" t="str">
        <x:v>76a41cee55316a5b2ae8ed33466d173d90824bcf6f377cac0b9f7eed45c02df4</x:v>
      </x:c>
      <x:c r="R64" s="9" t="str">
        <x:v>MIX_GOLF_AVGPAID_1500_PLUS_ANNUAL2026</x:v>
      </x:c>
      <x:c r="S64" s="9" t="str">
        <x:v>排行榜_商品榜_销售额榜_热销_运动_瑜伽_健身_球球迷用品-高尔夫裙_2025-11-01_2026-10-31(1).xlsx / 默认 / 第37行 / SHA256 76a41cee55316a5b2ae8ed33466d173d90824bcf6f377cac0b9f7eed45c02df4</x:v>
      </x:c>
    </x:row>
    <x:row r="65" ht="58" customHeight="1">
      <x:c r="A65" s="23" t="str">
        <x:v>1042083832696</x:v>
      </x:c>
      <x:c r="B65" s="22"/>
      <x:c r="C65" s="22"/>
      <x:c r="D65" s="9" t="str">
        <x:v>【王馨迎同款】迪桑特高尔夫 PRO系列 水溶纱百褶短裙早秋新品</x:v>
      </x:c>
      <x:c r="E65" s="9" t="str">
        <x:v>DESCENTEGOLF</x:v>
      </x:c>
      <x:c r="F65" s="9" t="str">
        <x:v>裙装</x:v>
      </x:c>
      <x:c r="G65" s="9" t="str">
        <x:v>高尔夫裙</x:v>
      </x:c>
      <x:c r="H65" s="24" t="n">
        <x:v>2117.11</x:v>
      </x:c>
      <x:c r="I65" s="25" t="e">
        <x:f>HYPERLINK("https://item.taobao.com/item.htm?id=1042083832696","打开商品")</x:f>
        <x:v>HYPERLINK is not implemented. linkLocation=https://item.taobao.com/item.htm?id=1042083832696, friendlyName=打开商品</x:v>
      </x:c>
      <x:c r="J65" s="25" t="e">
        <x:f>HYPERLINK("https://data.zhiyitech.cn/itemDetail/overview/base?itemId=1042083832696","打开知衣")</x:f>
        <x:v>HYPERLINK is not implemented. linkLocation=https://data.zhiyitech.cn/itemDetail/overview/base?itemId=1042083832696, friendlyName=打开知衣</x:v>
      </x:c>
      <x:c r="K65" s="25" t="e">
        <x:f>HYPERLINK("https://img.alicdn.com/bao/uploaded/i3/2212452067050/O1CN01mcJwVDc2uLG43lmS_!!4611686018427381482-0-item_pic.jpg","查看主图")</x:f>
        <x:v>HYPERLINK is not implemented. linkLocation=https://img.alicdn.com/bao/uploaded/i3/2212452067050/O1CN01mcJwVDc2uLG43lmS_!!4611686018427381482-0-item_pic.jpg, friendlyName=查看主图</x:v>
      </x:c>
      <x:c r="L65" s="9" t="str">
        <x:v>无明确性别信息</x:v>
      </x:c>
      <x:c r="M65" s="9" t="str">
        <x:v>高尔夫下装</x:v>
      </x:c>
      <x:c r="N65" s="9" t="str">
        <x:v>排行榜_商品榜_销售额榜_热销_运动_瑜伽_健身_球球迷用品-高尔夫裙_2025-11-01_2026-10-31(1).xlsx</x:v>
      </x:c>
      <x:c r="O65" s="9" t="str">
        <x:v>默认</x:v>
      </x:c>
      <x:c r="P65" s="9" t="n">
        <x:v>30</x:v>
      </x:c>
      <x:c r="Q65" s="9" t="str">
        <x:v>76a41cee55316a5b2ae8ed33466d173d90824bcf6f377cac0b9f7eed45c02df4</x:v>
      </x:c>
      <x:c r="R65" s="9" t="str">
        <x:v>MIX_GOLF_AVGPAID_1500_PLUS_ANNUAL2026</x:v>
      </x:c>
      <x:c r="S65" s="9" t="str">
        <x:v>排行榜_商品榜_销售额榜_热销_运动_瑜伽_健身_球球迷用品-高尔夫裙_2025-11-01_2026-10-31(1).xlsx / 默认 / 第30行 / SHA256 76a41cee55316a5b2ae8ed33466d173d90824bcf6f377cac0b9f7eed45c02df4</x:v>
      </x:c>
    </x:row>
    <x:row r="66" ht="58" customHeight="1">
      <x:c r="A66" s="23" t="str">
        <x:v>1075942577048</x:v>
      </x:c>
      <x:c r="B66" s="22"/>
      <x:c r="C66" s="22"/>
      <x:c r="D66" s="9" t="str">
        <x:v>FILA MILANO斐乐半身裙</x:v>
      </x:c>
      <x:c r="E66" s="9" t="str">
        <x:v>FILA/斐乐</x:v>
      </x:c>
      <x:c r="F66" s="9" t="str">
        <x:v>裙装</x:v>
      </x:c>
      <x:c r="G66" s="9" t="str">
        <x:v>运动半身裙</x:v>
      </x:c>
      <x:c r="H66" s="24" t="n">
        <x:v>1253.53</x:v>
      </x:c>
      <x:c r="I66" s="25" t="e">
        <x:f>HYPERLINK("https://item.taobao.com/item.htm?id=1075942577048","打开商品")</x:f>
        <x:v>HYPERLINK is not implemented. linkLocation=https://item.taobao.com/item.htm?id=1075942577048, friendlyName=打开商品</x:v>
      </x:c>
      <x:c r="J66" s="25" t="e">
        <x:f>HYPERLINK("https://data.zhiyitech.cn/itemDetail/overview/base?itemId=1075942577048","打开知衣")</x:f>
        <x:v>HYPERLINK is not implemented. linkLocation=https://data.zhiyitech.cn/itemDetail/overview/base?itemId=1075942577048, friendlyName=打开知衣</x:v>
      </x:c>
      <x:c r="K66" s="25" t="e">
        <x:f>HYPERLINK("https://img.alicdn.com/bao/uploaded/i1/676606897/O1CN01k3gALaGCXGJ1chua-676606897.jpg","查看主图")</x:f>
        <x:v>HYPERLINK is not implemented. linkLocation=https://img.alicdn.com/bao/uploaded/i1/676606897/O1CN01k3gALaGCXGJ1chua-676606897.jpg, friendlyName=查看主图</x:v>
      </x:c>
      <x:c r="L66" s="9" t="str">
        <x:v>无明确性别信息</x:v>
      </x:c>
      <x:c r="M66" s="9" t="str">
        <x:v>运动下装</x:v>
      </x:c>
      <x:c r="N66" s="9" t="str">
        <x:v>排行榜_商品榜_销售额榜_热销_运动服_休闲服装-运休闲服装-跑步短裤_2025-11-01_2026-10-31 (8).xlsx</x:v>
      </x:c>
      <x:c r="O66" s="9" t="str">
        <x:v>默认</x:v>
      </x:c>
      <x:c r="P66" s="9" t="n">
        <x:v>139</x:v>
      </x:c>
      <x:c r="Q66" s="9" t="str">
        <x:v>188467edd382ec56460cb456b88a35e4bc41edeb6d84588a2971ef0bea45a429</x:v>
      </x:c>
      <x:c r="R66" s="9" t="str">
        <x:v>MIX_SPORT_AVGPAID_1200_1300_ANNUAL2026</x:v>
      </x:c>
      <x:c r="S66" s="9" t="str">
        <x:v>排行榜_商品榜_销售额榜_热销_运动服_休闲服装-运休闲服装-跑步短裤_2025-11-01_2026-10-31 (8).xlsx / 默认 / 第139行 / SHA256 188467edd382ec56460cb456b88a35e4bc41edeb6d84588a2971ef0bea45a429</x:v>
      </x:c>
    </x:row>
    <x:row r="67" ht="58" customHeight="1">
      <x:c r="A67" s="23" t="str">
        <x:v>1081898091217</x:v>
      </x:c>
      <x:c r="B67" s="22"/>
      <x:c r="C67" s="22"/>
      <x:c r="D67" s="9" t="str">
        <x:v>heytopbbg【双十一狂欢】90白鹅绒高尔夫运动短裙羽绒半裙含小包</x:v>
      </x:c>
      <x:c r="E67" s="9" t="str">
        <x:v>HEYTOPBBG</x:v>
      </x:c>
      <x:c r="F67" s="9" t="str">
        <x:v>裙装</x:v>
      </x:c>
      <x:c r="G67" s="9" t="str">
        <x:v>运动半身裙</x:v>
      </x:c>
      <x:c r="H67" s="24" t="n">
        <x:v>1178</x:v>
      </x:c>
      <x:c r="I67" s="25" t="e">
        <x:f>HYPERLINK("https://item.taobao.com/item.htm?id=1081898091217","打开商品")</x:f>
        <x:v>HYPERLINK is not implemented. linkLocation=https://item.taobao.com/item.htm?id=1081898091217, friendlyName=打开商品</x:v>
      </x:c>
      <x:c r="J67" s="25" t="e">
        <x:f>HYPERLINK("https://data.zhiyitech.cn/itemDetail/overview/base?itemId=1081898091217","打开知衣")</x:f>
        <x:v>HYPERLINK is not implemented. linkLocation=https://data.zhiyitech.cn/itemDetail/overview/base?itemId=1081898091217, friendlyName=打开知衣</x:v>
      </x:c>
      <x:c r="K67" s="25" t="e">
        <x:f>HYPERLINK("https://img.alicdn.com/bao/uploaded/i2/2215374691755/O1CN01f4Y0KyKgcPD2vH2e_!!4611686018427387307-0-item_pic.jpg","查看主图")</x:f>
        <x:v>HYPERLINK is not implemented. linkLocation=https://img.alicdn.com/bao/uploaded/i2/2215374691755/O1CN01f4Y0KyKgcPD2vH2e_!!4611686018427387307-0-item_pic.jpg, friendlyName=查看主图</x:v>
      </x:c>
      <x:c r="L67" s="9" t="str">
        <x:v>无明确性别信息</x:v>
      </x:c>
      <x:c r="M67" s="9" t="str">
        <x:v>运动下装</x:v>
      </x:c>
      <x:c r="N67" s="9" t="str">
        <x:v>排行榜_商品榜_销售额榜_热销_运动服_休闲服装-运休闲服装-跑步短裤_2025-11-01_2026-10-31 (9).xlsx</x:v>
      </x:c>
      <x:c r="O67" s="9" t="str">
        <x:v>默认</x:v>
      </x:c>
      <x:c r="P67" s="9" t="n">
        <x:v>333</x:v>
      </x:c>
      <x:c r="Q67" s="9" t="str">
        <x:v>bf4c13b761e645dc5b709fecfe2eba562c597469bada8d60d13514dd26d590ba</x:v>
      </x:c>
      <x:c r="R67" s="9" t="str">
        <x:v>MIX_SPORT_AVGPAID_1100_1200_ANNUAL2026</x:v>
      </x:c>
      <x:c r="S67" s="9" t="str">
        <x:v>排行榜_商品榜_销售额榜_热销_运动服_休闲服装-运休闲服装-跑步短裤_2025-11-01_2026-10-31 (9).xlsx / 默认 / 第333行 / SHA256 bf4c13b761e645dc5b709fecfe2eba562c597469bada8d60d13514dd26d590ba</x:v>
      </x:c>
    </x:row>
    <x:row r="68" ht="58" customHeight="1">
      <x:c r="A68" s="23" t="str">
        <x:v>1040536787822</x:v>
      </x:c>
      <x:c r="B68" s="22"/>
      <x:c r="C68" s="22"/>
      <x:c r="D68" s="9" t="str">
        <x:v>【K:系列】KOLON SPORT可隆防泼水混色拼接双层编织半身裙半裙</x:v>
      </x:c>
      <x:c r="E68" s="9" t="str">
        <x:v>KOLON SPORT/可隆</x:v>
      </x:c>
      <x:c r="F68" s="9" t="str">
        <x:v>裙装</x:v>
      </x:c>
      <x:c r="G68" s="9" t="str">
        <x:v>运动半身裙</x:v>
      </x:c>
      <x:c r="H68" s="24" t="n">
        <x:v>1550.5</x:v>
      </x:c>
      <x:c r="I68" s="25" t="e">
        <x:f>HYPERLINK("https://item.taobao.com/item.htm?id=1040536787822","打开商品")</x:f>
        <x:v>HYPERLINK is not implemented. linkLocation=https://item.taobao.com/item.htm?id=1040536787822, friendlyName=打开商品</x:v>
      </x:c>
      <x:c r="J68" s="25" t="e">
        <x:f>HYPERLINK("https://data.zhiyitech.cn/itemDetail/overview/base?itemId=1040536787822","打开知衣")</x:f>
        <x:v>HYPERLINK is not implemented. linkLocation=https://data.zhiyitech.cn/itemDetail/overview/base?itemId=1040536787822, friendlyName=打开知衣</x:v>
      </x:c>
      <x:c r="K68" s="25" t="e">
        <x:f>HYPERLINK("https://img.alicdn.com/bao/uploaded/i1/1951442050/O1CN01ugFpMN0cOUK1chua_!!1951442050.jpg","查看主图")</x:f>
        <x:v>HYPERLINK is not implemented. linkLocation=https://img.alicdn.com/bao/uploaded/i1/1951442050/O1CN01ugFpMN0cOUK1chua_!!1951442050.jpg, friendlyName=查看主图</x:v>
      </x:c>
      <x:c r="L68" s="9" t="str">
        <x:v>无明确性别信息</x:v>
      </x:c>
      <x:c r="M68" s="9" t="str">
        <x:v>运动下装</x:v>
      </x:c>
      <x:c r="N68" s="9" t="str">
        <x:v>排行榜_商品榜_销售额榜_热销_运动服_休闲服装-运休闲服装-跑步短裤_2025-11-01_2026-10-31 (5).xlsx</x:v>
      </x:c>
      <x:c r="O68" s="9" t="str">
        <x:v>默认</x:v>
      </x:c>
      <x:c r="P68" s="9" t="n">
        <x:v>88</x:v>
      </x:c>
      <x:c r="Q68" s="9" t="str">
        <x:v>9ad7424665e3f8b592ed8cec3e99707eea5b9bd2316d324ab5977c56b4039ec9</x:v>
      </x:c>
      <x:c r="R68" s="9" t="str">
        <x:v>MIX_SPORT_AVGPAID_1500_1600_ANNUAL2026</x:v>
      </x:c>
      <x:c r="S68" s="9" t="str">
        <x:v>排行榜_商品榜_销售额榜_热销_运动服_休闲服装-运休闲服装-跑步短裤_2025-11-01_2026-10-31 (5).xlsx / 默认 / 第88行 / SHA256 9ad7424665e3f8b592ed8cec3e99707eea5b9bd2316d324ab5977c56b4039ec9</x:v>
      </x:c>
    </x:row>
    <x:row r="69" ht="58" customHeight="1">
      <x:c r="A69" s="23" t="str">
        <x:v>1015503919791</x:v>
      </x:c>
      <x:c r="B69" s="22"/>
      <x:c r="C69" s="22"/>
      <x:c r="D69" s="9" t="str">
        <x:v>乐飞叶25夏季新款户外休闲半身裙</x:v>
      </x:c>
      <x:c r="E69" s="9" t="str">
        <x:v>LAFUMA/乐飞叶</x:v>
      </x:c>
      <x:c r="F69" s="9" t="str">
        <x:v>裙装</x:v>
      </x:c>
      <x:c r="G69" s="9" t="str">
        <x:v>户外半身裙</x:v>
      </x:c>
      <x:c r="H69" s="24" t="n">
        <x:v>1184.25</x:v>
      </x:c>
      <x:c r="I69" s="25" t="e">
        <x:f>HYPERLINK("https://item.taobao.com/item.htm?id=1015503919791","打开商品")</x:f>
        <x:v>HYPERLINK is not implemented. linkLocation=https://item.taobao.com/item.htm?id=1015503919791, friendlyName=打开商品</x:v>
      </x:c>
      <x:c r="J69" s="25" t="e">
        <x:f>HYPERLINK("https://data.zhiyitech.cn/itemDetail/overview/base?itemId=1015503919791","打开知衣")</x:f>
        <x:v>HYPERLINK is not implemented. linkLocation=https://data.zhiyitech.cn/itemDetail/overview/base?itemId=1015503919791, friendlyName=打开知衣</x:v>
      </x:c>
      <x:c r="K69" s="25" t="e">
        <x:f>HYPERLINK("https://img.alicdn.com/bao/uploaded/i3/2206473596397/O1CN01hNmuLkDhUoJ1chua_!!2206473596397.jpg","查看主图")</x:f>
        <x:v>HYPERLINK is not implemented. linkLocation=https://img.alicdn.com/bao/uploaded/i3/2206473596397/O1CN01hNmuLkDhUoJ1chua_!!2206473596397.jpg, friendlyName=查看主图</x:v>
      </x:c>
      <x:c r="L69" s="9" t="str">
        <x:v>无明确性别信息</x:v>
      </x:c>
      <x:c r="M69" s="9" t="str">
        <x:v>户外裤装</x:v>
      </x:c>
      <x:c r="N69" s="9" t="str">
        <x:v>排行榜_商品榜_销售额榜_热销_户外_登山_野营_旅_旅行用品-软壳裤_2025-11-01_2026-10-31 (10).xlsx</x:v>
      </x:c>
      <x:c r="O69" s="9" t="str">
        <x:v>默认</x:v>
      </x:c>
      <x:c r="P69" s="9" t="n">
        <x:v>339</x:v>
      </x:c>
      <x:c r="Q69" s="9" t="str">
        <x:v>c88a0e3a8af6b1e9e6eac6b858c267c3f9d30dd5fa0c40a80a3e2ddcdc05dcd2</x:v>
      </x:c>
      <x:c r="R69" s="9" t="str">
        <x:v>MIX_OUTDOOR_AVGPAID_1100_1200_ANNUAL2026</x:v>
      </x:c>
      <x:c r="S69" s="9" t="str">
        <x:v>排行榜_商品榜_销售额榜_热销_户外_登山_野营_旅_旅行用品-软壳裤_2025-11-01_2026-10-31 (10).xlsx / 默认 / 第339行 / SHA256 c88a0e3a8af6b1e9e6eac6b858c267c3f9d30dd5fa0c40a80a3e2ddcdc05dcd2</x:v>
      </x:c>
    </x:row>
    <x:row r="70" ht="58" customHeight="1">
      <x:c r="A70" s="23" t="str">
        <x:v>1042225151148</x:v>
      </x:c>
      <x:c r="B70" s="22"/>
      <x:c r="C70" s="22"/>
      <x:c r="D70" s="9" t="str">
        <x:v>Drawstring Midi Skirt 中长裙</x:v>
      </x:c>
      <x:c r="E70" s="9" t="str">
        <x:v>ON/昂跑</x:v>
      </x:c>
      <x:c r="F70" s="9" t="str">
        <x:v>裙装</x:v>
      </x:c>
      <x:c r="G70" s="9" t="str">
        <x:v>运动半身裙</x:v>
      </x:c>
      <x:c r="H70" s="24" t="n">
        <x:v>1250.5</x:v>
      </x:c>
      <x:c r="I70" s="25" t="e">
        <x:f>HYPERLINK("https://item.taobao.com/item.htm?id=1042225151148","打开商品")</x:f>
        <x:v>HYPERLINK is not implemented. linkLocation=https://item.taobao.com/item.htm?id=1042225151148, friendlyName=打开商品</x:v>
      </x:c>
      <x:c r="J70" s="25" t="e">
        <x:f>HYPERLINK("https://data.zhiyitech.cn/itemDetail/overview/base?itemId=1042225151148","打开知衣")</x:f>
        <x:v>HYPERLINK is not implemented. linkLocation=https://data.zhiyitech.cn/itemDetail/overview/base?itemId=1042225151148, friendlyName=打开知衣</x:v>
      </x:c>
      <x:c r="K70" s="25" t="e">
        <x:f>HYPERLINK("https://img.alicdn.com/bao/uploaded/i3/4161332182/O1CN01omEc6a1RzPLkkQOUl_!!4611686018427380694-0-item_pic.jpg","查看主图")</x:f>
        <x:v>HYPERLINK is not implemented. linkLocation=https://img.alicdn.com/bao/uploaded/i3/4161332182/O1CN01omEc6a1RzPLkkQOUl_!!4611686018427380694-0-item_pic.jpg, friendlyName=查看主图</x:v>
      </x:c>
      <x:c r="L70" s="9" t="str">
        <x:v>无明确性别信息</x:v>
      </x:c>
      <x:c r="M70" s="9" t="str">
        <x:v>运动下装</x:v>
      </x:c>
      <x:c r="N70" s="9" t="str">
        <x:v>排行榜_商品榜_销售额榜_热销_运动服_休闲服装-运休闲服装-跑步短裤_2025-11-01_2026-10-31 (8).xlsx</x:v>
      </x:c>
      <x:c r="O70" s="9" t="str">
        <x:v>默认</x:v>
      </x:c>
      <x:c r="P70" s="9" t="n">
        <x:v>73</x:v>
      </x:c>
      <x:c r="Q70" s="9" t="str">
        <x:v>188467edd382ec56460cb456b88a35e4bc41edeb6d84588a2971ef0bea45a429</x:v>
      </x:c>
      <x:c r="R70" s="9" t="str">
        <x:v>MIX_SPORT_AVGPAID_1200_1300_ANNUAL2026</x:v>
      </x:c>
      <x:c r="S70" s="9" t="str">
        <x:v>排行榜_商品榜_销售额榜_热销_运动服_休闲服装-运休闲服装-跑步短裤_2025-11-01_2026-10-31 (8).xlsx / 默认 / 第73行 / SHA256 188467edd382ec56460cb456b88a35e4bc41edeb6d84588a2971ef0bea45a429</x:v>
      </x:c>
    </x:row>
    <x:row r="71" ht="58" customHeight="1">
      <x:c r="A71" s="23" t="str">
        <x:v>940982038603</x:v>
      </x:c>
      <x:c r="B71" s="22"/>
      <x:c r="C71" s="22"/>
      <x:c r="D71" s="9" t="str">
        <x:v>菲尼克斯户外时尚工装半身裙</x:v>
      </x:c>
      <x:c r="E71" s="9" t="str">
        <x:v>PHENIX</x:v>
      </x:c>
      <x:c r="F71" s="9" t="str">
        <x:v>裙装</x:v>
      </x:c>
      <x:c r="G71" s="9" t="str">
        <x:v>运动半身裙</x:v>
      </x:c>
      <x:c r="H71" s="24" t="n">
        <x:v>1100.22</x:v>
      </x:c>
      <x:c r="I71" s="25" t="e">
        <x:f>HYPERLINK("https://item.taobao.com/item.htm?id=940982038603","打开商品")</x:f>
        <x:v>HYPERLINK is not implemented. linkLocation=https://item.taobao.com/item.htm?id=940982038603, friendlyName=打开商品</x:v>
      </x:c>
      <x:c r="J71" s="25" t="e">
        <x:f>HYPERLINK("https://data.zhiyitech.cn/itemDetail/overview/base?itemId=940982038603","打开知衣")</x:f>
        <x:v>HYPERLINK is not implemented. linkLocation=https://data.zhiyitech.cn/itemDetail/overview/base?itemId=940982038603, friendlyName=打开知衣</x:v>
      </x:c>
      <x:c r="K71" s="25" t="e">
        <x:f>HYPERLINK("https://img.alicdn.com/bao/uploaded/i2/3040100879/O1CN01ML5FO91IMdDqV5l6z_!!4611686018427380239-0-item_pic.jpg","查看主图")</x:f>
        <x:v>HYPERLINK is not implemented. linkLocation=https://img.alicdn.com/bao/uploaded/i2/3040100879/O1CN01ML5FO91IMdDqV5l6z_!!4611686018427380239-0-item_pic.jpg, friendlyName=查看主图</x:v>
      </x:c>
      <x:c r="L71" s="9" t="str">
        <x:v>无明确性别信息</x:v>
      </x:c>
      <x:c r="M71" s="9" t="str">
        <x:v>运动下装</x:v>
      </x:c>
      <x:c r="N71" s="9" t="str">
        <x:v>排行榜_商品榜_销售额榜_热销_运动服_休闲服装-运休闲服装-跑步短裤_2025-11-01_2026-10-31 (9).xlsx</x:v>
      </x:c>
      <x:c r="O71" s="9" t="str">
        <x:v>默认</x:v>
      </x:c>
      <x:c r="P71" s="9" t="n">
        <x:v>410</x:v>
      </x:c>
      <x:c r="Q71" s="9" t="str">
        <x:v>bf4c13b761e645dc5b709fecfe2eba562c597469bada8d60d13514dd26d590ba</x:v>
      </x:c>
      <x:c r="R71" s="9" t="str">
        <x:v>MIX_SPORT_AVGPAID_1100_1200_ANNUAL2026</x:v>
      </x:c>
      <x:c r="S71" s="9" t="str">
        <x:v>排行榜_商品榜_销售额榜_热销_运动服_休闲服装-运休闲服装-跑步短裤_2025-11-01_2026-10-31 (9).xlsx / 默认 / 第410行 / SHA256 bf4c13b761e645dc5b709fecfe2eba562c597469bada8d60d13514dd26d590ba</x:v>
      </x:c>
    </x:row>
    <x:row r="72" ht="58" customHeight="1">
      <x:c r="A72" s="23" t="str">
        <x:v>1009996007310</x:v>
      </x:c>
      <x:c r="B72" s="22"/>
      <x:c r="C72" s="22"/>
      <x:c r="D72" s="9" t="str">
        <x:v>高尔夫运动时尚百褶短裙半身裙</x:v>
      </x:c>
      <x:c r="E72" s="9" t="str">
        <x:v>RAPIDO</x:v>
      </x:c>
      <x:c r="F72" s="9" t="str">
        <x:v>裙装</x:v>
      </x:c>
      <x:c r="G72" s="9" t="str">
        <x:v>运动半身裙</x:v>
      </x:c>
      <x:c r="H72" s="24" t="n">
        <x:v>1250.4</x:v>
      </x:c>
      <x:c r="I72" s="25" t="e">
        <x:f>HYPERLINK("https://item.taobao.com/item.htm?id=1009996007310","打开商品")</x:f>
        <x:v>HYPERLINK is not implemented. linkLocation=https://item.taobao.com/item.htm?id=1009996007310, friendlyName=打开商品</x:v>
      </x:c>
      <x:c r="J72" s="25" t="e">
        <x:f>HYPERLINK("https://data.zhiyitech.cn/itemDetail/overview/base?itemId=1009996007310","打开知衣")</x:f>
        <x:v>HYPERLINK is not implemented. linkLocation=https://data.zhiyitech.cn/itemDetail/overview/base?itemId=1009996007310, friendlyName=打开知衣</x:v>
      </x:c>
      <x:c r="K72" s="25" t="e">
        <x:f>HYPERLINK("https://img.alicdn.com/imgextra/i1/1018762324/O1CN01GWrEvA1T2RZcqS5PS-1018762324.jpg","查看主图")</x:f>
        <x:v>HYPERLINK is not implemented. linkLocation=https://img.alicdn.com/imgextra/i1/1018762324/O1CN01GWrEvA1T2RZcqS5PS-1018762324.jpg, friendlyName=查看主图</x:v>
      </x:c>
      <x:c r="L72" s="9" t="str">
        <x:v>无明确性别信息</x:v>
      </x:c>
      <x:c r="M72" s="9" t="str">
        <x:v>运动下装</x:v>
      </x:c>
      <x:c r="N72" s="9" t="str">
        <x:v>排行榜_商品榜_销售额榜_热销_运动服_休闲服装-运休闲服装-跑步短裤_2025-11-01_2026-10-31 (8).xlsx</x:v>
      </x:c>
      <x:c r="O72" s="9" t="str">
        <x:v>默认</x:v>
      </x:c>
      <x:c r="P72" s="9" t="n">
        <x:v>301</x:v>
      </x:c>
      <x:c r="Q72" s="9" t="str">
        <x:v>188467edd382ec56460cb456b88a35e4bc41edeb6d84588a2971ef0bea45a429</x:v>
      </x:c>
      <x:c r="R72" s="9" t="str">
        <x:v>MIX_SPORT_AVGPAID_1200_1300_ANNUAL2026</x:v>
      </x:c>
      <x:c r="S72" s="9" t="str">
        <x:v>排行榜_商品榜_销售额榜_热销_运动服_休闲服装-运休闲服装-跑步短裤_2025-11-01_2026-10-31 (8).xlsx / 默认 / 第301行 / SHA256 188467edd382ec56460cb456b88a35e4bc41edeb6d84588a2971ef0bea45a429</x:v>
      </x:c>
    </x:row>
    <x:row r="73" ht="58" customHeight="1">
      <x:c r="A73" s="23" t="str">
        <x:v>1015530221942</x:v>
      </x:c>
      <x:c r="B73" s="22"/>
      <x:c r="C73" s="22"/>
      <x:c r="D73" s="9" t="str">
        <x:v>GOLF时尚运动风短款百褶短裙</x:v>
      </x:c>
      <x:c r="E73" s="9" t="str">
        <x:v>RAPIDO</x:v>
      </x:c>
      <x:c r="F73" s="9" t="str">
        <x:v>裙装</x:v>
      </x:c>
      <x:c r="G73" s="9" t="str">
        <x:v>运动半身裙</x:v>
      </x:c>
      <x:c r="H73" s="24" t="n">
        <x:v>1103.3</x:v>
      </x:c>
      <x:c r="I73" s="25" t="e">
        <x:f>HYPERLINK("https://item.taobao.com/item.htm?id=1015530221942","打开商品")</x:f>
        <x:v>HYPERLINK is not implemented. linkLocation=https://item.taobao.com/item.htm?id=1015530221942, friendlyName=打开商品</x:v>
      </x:c>
      <x:c r="J73" s="25" t="e">
        <x:f>HYPERLINK("https://data.zhiyitech.cn/itemDetail/overview/base?itemId=1015530221942","打开知衣")</x:f>
        <x:v>HYPERLINK is not implemented. linkLocation=https://data.zhiyitech.cn/itemDetail/overview/base?itemId=1015530221942, friendlyName=打开知衣</x:v>
      </x:c>
      <x:c r="K73" s="25" t="e">
        <x:f>HYPERLINK("https://img.alicdn.com/bao/uploaded/i2/1018762324/O1CN01WzeJam1T2Rb6RanRy-1018762324.jpg","查看主图")</x:f>
        <x:v>HYPERLINK is not implemented. linkLocation=https://img.alicdn.com/bao/uploaded/i2/1018762324/O1CN01WzeJam1T2Rb6RanRy-1018762324.jpg, friendlyName=查看主图</x:v>
      </x:c>
      <x:c r="L73" s="9" t="str">
        <x:v>无明确性别信息</x:v>
      </x:c>
      <x:c r="M73" s="9" t="str">
        <x:v>运动下装</x:v>
      </x:c>
      <x:c r="N73" s="9" t="str">
        <x:v>排行榜_商品榜_销售额榜_热销_运动服_休闲服装-运休闲服装-跑步短裤_2025-11-01_2026-10-31 (9).xlsx</x:v>
      </x:c>
      <x:c r="O73" s="9" t="str">
        <x:v>默认</x:v>
      </x:c>
      <x:c r="P73" s="9" t="n">
        <x:v>375</x:v>
      </x:c>
      <x:c r="Q73" s="9" t="str">
        <x:v>bf4c13b761e645dc5b709fecfe2eba562c597469bada8d60d13514dd26d590ba</x:v>
      </x:c>
      <x:c r="R73" s="9" t="str">
        <x:v>MIX_SPORT_AVGPAID_1100_1200_ANNUAL2026</x:v>
      </x:c>
      <x:c r="S73" s="9" t="str">
        <x:v>排行榜_商品榜_销售额榜_热销_运动服_休闲服装-运休闲服装-跑步短裤_2025-11-01_2026-10-31 (9).xlsx / 默认 / 第375行 / SHA256 bf4c13b761e645dc5b709fecfe2eba562c597469bada8d60d13514dd26d590ba</x:v>
      </x:c>
    </x:row>
    <x:row r="74" ht="58" customHeight="1">
      <x:c r="A74" s="23" t="str">
        <x:v>1025810236520</x:v>
      </x:c>
      <x:c r="B74" s="22"/>
      <x:c r="C74" s="22"/>
      <x:c r="D74" s="9" t="str">
        <x:v>GOLF优雅竖琴运动舒适百褶短裙</x:v>
      </x:c>
      <x:c r="E74" s="9" t="str">
        <x:v>RAPIDO</x:v>
      </x:c>
      <x:c r="F74" s="9" t="str">
        <x:v>裙装</x:v>
      </x:c>
      <x:c r="G74" s="9" t="str">
        <x:v>运动半身裙</x:v>
      </x:c>
      <x:c r="H74" s="24" t="n">
        <x:v>1111.94</x:v>
      </x:c>
      <x:c r="I74" s="25" t="e">
        <x:f>HYPERLINK("https://item.taobao.com/item.htm?id=1025810236520","打开商品")</x:f>
        <x:v>HYPERLINK is not implemented. linkLocation=https://item.taobao.com/item.htm?id=1025810236520, friendlyName=打开商品</x:v>
      </x:c>
      <x:c r="J74" s="25" t="e">
        <x:f>HYPERLINK("https://data.zhiyitech.cn/itemDetail/overview/base?itemId=1025810236520","打开知衣")</x:f>
        <x:v>HYPERLINK is not implemented. linkLocation=https://data.zhiyitech.cn/itemDetail/overview/base?itemId=1025810236520, friendlyName=打开知衣</x:v>
      </x:c>
      <x:c r="K74" s="25" t="e">
        <x:f>HYPERLINK("https://img.alicdn.com/bao/uploaded/i1/1018762324/O1CN01k08OtaovsGK2vH2e-1018762324.jpg","查看主图")</x:f>
        <x:v>HYPERLINK is not implemented. linkLocation=https://img.alicdn.com/bao/uploaded/i1/1018762324/O1CN01k08OtaovsGK2vH2e-1018762324.jpg, friendlyName=查看主图</x:v>
      </x:c>
      <x:c r="L74" s="9" t="str">
        <x:v>无明确性别信息</x:v>
      </x:c>
      <x:c r="M74" s="9" t="str">
        <x:v>运动下装</x:v>
      </x:c>
      <x:c r="N74" s="9" t="str">
        <x:v>排行榜_商品榜_销售额榜_热销_运动服_休闲服装-运休闲服装-跑步短裤_2025-11-01_2026-10-31 (9).xlsx</x:v>
      </x:c>
      <x:c r="O74" s="9" t="str">
        <x:v>默认</x:v>
      </x:c>
      <x:c r="P74" s="9" t="n">
        <x:v>344</x:v>
      </x:c>
      <x:c r="Q74" s="9" t="str">
        <x:v>bf4c13b761e645dc5b709fecfe2eba562c597469bada8d60d13514dd26d590ba</x:v>
      </x:c>
      <x:c r="R74" s="9" t="str">
        <x:v>MIX_SPORT_AVGPAID_1100_1200_ANNUAL2026</x:v>
      </x:c>
      <x:c r="S74" s="9" t="str">
        <x:v>排行榜_商品榜_销售额榜_热销_运动服_休闲服装-运休闲服装-跑步短裤_2025-11-01_2026-10-31 (9).xlsx / 默认 / 第344行 / SHA256 bf4c13b761e645dc5b709fecfe2eba562c597469bada8d60d13514dd26d590ba</x:v>
      </x:c>
    </x:row>
    <x:row r="75" ht="58" customHeight="1">
      <x:c r="A75" s="23" t="str">
        <x:v>1039377246859</x:v>
      </x:c>
      <x:c r="B75" s="22"/>
      <x:c r="C75" s="22"/>
      <x:c r="D75" s="9" t="str">
        <x:v>HBY日本代购~日本制 高腰花边条纹西装半身裙</x:v>
      </x:c>
      <x:c r="E75" s="9" t="str">
        <x:v>未提供品牌</x:v>
      </x:c>
      <x:c r="F75" s="9" t="str">
        <x:v>裙装</x:v>
      </x:c>
      <x:c r="G75" s="9" t="str">
        <x:v>运动半身裙</x:v>
      </x:c>
      <x:c r="H75" s="24" t="n">
        <x:v>1327</x:v>
      </x:c>
      <x:c r="I75" s="25" t="e">
        <x:f>HYPERLINK("https://item.taobao.com/item.htm?id=1039377246859","打开商品")</x:f>
        <x:v>HYPERLINK is not implemented. linkLocation=https://item.taobao.com/item.htm?id=1039377246859, friendlyName=打开商品</x:v>
      </x:c>
      <x:c r="J75" s="25" t="e">
        <x:f>HYPERLINK("https://data.zhiyitech.cn/itemDetail/overview/base?itemId=1039377246859","打开知衣")</x:f>
        <x:v>HYPERLINK is not implemented. linkLocation=https://data.zhiyitech.cn/itemDetail/overview/base?itemId=1039377246859, friendlyName=打开知衣</x:v>
      </x:c>
      <x:c r="K75" s="25" t="e">
        <x:f>HYPERLINK("https://img.alicdn.com/bao/uploaded/i3/845925391/O1CN01TLnCHI1ph8K3iVXvM~crop,125,0,750,1000~_!!845925391.jpg","查看主图")</x:f>
        <x:v>HYPERLINK is not implemented. linkLocation=https://img.alicdn.com/bao/uploaded/i3/845925391/O1CN01TLnCHI1ph8K3iVXvM~crop,125,0,750,1000~_!!845925391.jpg, friendlyName=查看主图</x:v>
      </x:c>
      <x:c r="L75" s="9" t="str">
        <x:v>无明确性别信息</x:v>
      </x:c>
      <x:c r="M75" s="9" t="str">
        <x:v>运动下装</x:v>
      </x:c>
      <x:c r="N75" s="9" t="str">
        <x:v>排行榜_商品榜_销售额榜_热销_运动服_休闲服装-运休闲服装-跑步短裤_2025-11-01_2026-10-31 (7).xlsx</x:v>
      </x:c>
      <x:c r="O75" s="9" t="str">
        <x:v>默认</x:v>
      </x:c>
      <x:c r="P75" s="9" t="n">
        <x:v>211</x:v>
      </x:c>
      <x:c r="Q75" s="9" t="str">
        <x:v>b4959cd74b14f4314b9473c91799b973e0b2ff209bedfdac04b6266e6a5d9ce9</x:v>
      </x:c>
      <x:c r="R75" s="9" t="str">
        <x:v>MIX_SPORT_AVGPAID_1300_1400_ANNUAL2026</x:v>
      </x:c>
      <x:c r="S75" s="9" t="str">
        <x:v>排行榜_商品榜_销售额榜_热销_运动服_休闲服装-运休闲服装-跑步短裤_2025-11-01_2026-10-31 (7).xlsx / 默认 / 第211行 / SHA256 b4959cd74b14f4314b9473c91799b973e0b2ff209bedfdac04b6266e6a5d9ce9</x:v>
      </x:c>
    </x:row>
    <x:row r="76" ht="58" customHeight="1">
      <x:c r="A76" s="23" t="str">
        <x:v>1053241151974</x:v>
      </x:c>
      <x:c r="B76" s="22"/>
      <x:c r="C76" s="22"/>
      <x:c r="D76" s="9" t="str">
        <x:v>united tokyo日本代购~日本制 扇形百褶边半身裙</x:v>
      </x:c>
      <x:c r="E76" s="9" t="str">
        <x:v>未提供品牌</x:v>
      </x:c>
      <x:c r="F76" s="9" t="str">
        <x:v>裙装</x:v>
      </x:c>
      <x:c r="G76" s="9" t="str">
        <x:v>运动半身裙</x:v>
      </x:c>
      <x:c r="H76" s="24" t="n">
        <x:v>1185</x:v>
      </x:c>
      <x:c r="I76" s="25" t="e">
        <x:f>HYPERLINK("https://item.taobao.com/item.htm?id=1053241151974","打开商品")</x:f>
        <x:v>HYPERLINK is not implemented. linkLocation=https://item.taobao.com/item.htm?id=1053241151974, friendlyName=打开商品</x:v>
      </x:c>
      <x:c r="J76" s="25" t="e">
        <x:f>HYPERLINK("https://data.zhiyitech.cn/itemDetail/overview/base?itemId=1053241151974","打开知衣")</x:f>
        <x:v>HYPERLINK is not implemented. linkLocation=https://data.zhiyitech.cn/itemDetail/overview/base?itemId=1053241151974, friendlyName=打开知衣</x:v>
      </x:c>
      <x:c r="K76" s="25" t="e">
        <x:f>HYPERLINK("https://img.alicdn.com/bao/uploaded/i2/845925391/O1CN01sGDc8u1ph8KlHyidD~crop,125,0,750,1000~_!!845925391.jpg","查看主图")</x:f>
        <x:v>HYPERLINK is not implemented. linkLocation=https://img.alicdn.com/bao/uploaded/i2/845925391/O1CN01sGDc8u1ph8KlHyidD~crop,125,0,750,1000~_!!845925391.jpg, friendlyName=查看主图</x:v>
      </x:c>
      <x:c r="L76" s="9" t="str">
        <x:v>无明确性别信息</x:v>
      </x:c>
      <x:c r="M76" s="9" t="str">
        <x:v>运动下装</x:v>
      </x:c>
      <x:c r="N76" s="9" t="str">
        <x:v>排行榜_商品榜_销售额榜_热销_运动服_休闲服装-运休闲服装-跑步短裤_2025-11-01_2026-10-31 (9).xlsx</x:v>
      </x:c>
      <x:c r="O76" s="9" t="str">
        <x:v>默认</x:v>
      </x:c>
      <x:c r="P76" s="9" t="n">
        <x:v>417</x:v>
      </x:c>
      <x:c r="Q76" s="9" t="str">
        <x:v>bf4c13b761e645dc5b709fecfe2eba562c597469bada8d60d13514dd26d590ba</x:v>
      </x:c>
      <x:c r="R76" s="9" t="str">
        <x:v>MIX_SPORT_AVGPAID_1100_1200_ANNUAL2026</x:v>
      </x:c>
      <x:c r="S76" s="9" t="str">
        <x:v>排行榜_商品榜_销售额榜_热销_运动服_休闲服装-运休闲服装-跑步短裤_2025-11-01_2026-10-31 (9).xlsx / 默认 / 第417行 / SHA256 bf4c13b761e645dc5b709fecfe2eba562c597469bada8d60d13514dd26d590ba</x:v>
      </x:c>
    </x:row>
    <x:row r="77" ht="58" customHeight="1">
      <x:c r="A77" s="23" t="str">
        <x:v>1078284722761</x:v>
      </x:c>
      <x:c r="B77" s="22"/>
      <x:c r="C77" s="22"/>
      <x:c r="D77" s="9" t="str">
        <x:v>日本买手代购 nagonstans 26AW 470JA431-0711 shard line 半身裙</x:v>
      </x:c>
      <x:c r="E77" s="9" t="str">
        <x:v>未提供品牌</x:v>
      </x:c>
      <x:c r="F77" s="9" t="str">
        <x:v>裙装</x:v>
      </x:c>
      <x:c r="G77" s="9" t="str">
        <x:v>运动半身裙</x:v>
      </x:c>
      <x:c r="H77" s="24" t="n">
        <x:v>1551.55</x:v>
      </x:c>
      <x:c r="I77" s="25" t="e">
        <x:f>HYPERLINK("https://item.taobao.com/item.htm?id=1078284722761","打开商品")</x:f>
        <x:v>HYPERLINK is not implemented. linkLocation=https://item.taobao.com/item.htm?id=1078284722761, friendlyName=打开商品</x:v>
      </x:c>
      <x:c r="J77" s="25" t="e">
        <x:f>HYPERLINK("https://data.zhiyitech.cn/itemDetail/overview/base?itemId=1078284722761","打开知衣")</x:f>
        <x:v>HYPERLINK is not implemented. linkLocation=https://data.zhiyitech.cn/itemDetail/overview/base?itemId=1078284722761, friendlyName=打开知衣</x:v>
      </x:c>
      <x:c r="K77" s="25" t="e">
        <x:f>HYPERLINK("https://img.alicdn.com/imgextra/i4/74297004/O1CN01LpWePp9bLJI2eenQ_!!74297004.jpg","查看主图")</x:f>
        <x:v>HYPERLINK is not implemented. linkLocation=https://img.alicdn.com/imgextra/i4/74297004/O1CN01LpWePp9bLJI2eenQ_!!74297004.jpg, friendlyName=查看主图</x:v>
      </x:c>
      <x:c r="L77" s="9" t="str">
        <x:v>无明确性别信息</x:v>
      </x:c>
      <x:c r="M77" s="9" t="str">
        <x:v>运动下装</x:v>
      </x:c>
      <x:c r="N77" s="9" t="str">
        <x:v>排行榜_商品榜_销售额榜_热销_运动服_休闲服装-运休闲服装-跑步短裤_2025-11-01_2026-10-31 (5).xlsx</x:v>
      </x:c>
      <x:c r="O77" s="9" t="str">
        <x:v>默认</x:v>
      </x:c>
      <x:c r="P77" s="9" t="n">
        <x:v>138</x:v>
      </x:c>
      <x:c r="Q77" s="9" t="str">
        <x:v>9ad7424665e3f8b592ed8cec3e99707eea5b9bd2316d324ab5977c56b4039ec9</x:v>
      </x:c>
      <x:c r="R77" s="9" t="str">
        <x:v>MIX_SPORT_AVGPAID_1500_1600_ANNUAL2026</x:v>
      </x:c>
      <x:c r="S77" s="9" t="str">
        <x:v>排行榜_商品榜_销售额榜_热销_运动服_休闲服装-运休闲服装-跑步短裤_2025-11-01_2026-10-31 (5).xlsx / 默认 / 第138行 / SHA256 9ad7424665e3f8b592ed8cec3e99707eea5b9bd2316d324ab5977c56b4039ec9</x:v>
      </x:c>
    </x:row>
    <x:row r="78" ht="58" customHeight="1">
      <x:c r="A78" s="23" t="str">
        <x:v>1081694884760</x:v>
      </x:c>
      <x:c r="B78" s="22"/>
      <x:c r="C78" s="22"/>
      <x:c r="D78" s="9" t="str">
        <x:v>MasterBunny小兔子高尔夫裙</x:v>
      </x:c>
      <x:c r="E78" s="9" t="str">
        <x:v>未提供品牌</x:v>
      </x:c>
      <x:c r="F78" s="9" t="str">
        <x:v>裙装</x:v>
      </x:c>
      <x:c r="G78" s="9" t="str">
        <x:v>高尔夫裙</x:v>
      </x:c>
      <x:c r="H78" s="24" t="n">
        <x:v>1800</x:v>
      </x:c>
      <x:c r="I78" s="25" t="e">
        <x:f>HYPERLINK("https://item.taobao.com/item.htm?id=1081694884760","打开商品")</x:f>
        <x:v>HYPERLINK is not implemented. linkLocation=https://item.taobao.com/item.htm?id=1081694884760, friendlyName=打开商品</x:v>
      </x:c>
      <x:c r="J78" s="25" t="e">
        <x:f>HYPERLINK("https://data.zhiyitech.cn/itemDetail/overview/base?itemId=1081694884760","打开知衣")</x:f>
        <x:v>HYPERLINK is not implemented. linkLocation=https://data.zhiyitech.cn/itemDetail/overview/base?itemId=1081694884760, friendlyName=打开知衣</x:v>
      </x:c>
      <x:c r="K78" s="25" t="e">
        <x:f>HYPERLINK("https://img.alicdn.com/bao/uploaded/i3/2502627397/O1CN01y7tgEGhVfXI2b8G8_!!2502627397.jpg","查看主图")</x:f>
        <x:v>HYPERLINK is not implemented. linkLocation=https://img.alicdn.com/bao/uploaded/i3/2502627397/O1CN01y7tgEGhVfXI2b8G8_!!2502627397.jpg, friendlyName=查看主图</x:v>
      </x:c>
      <x:c r="L78" s="9" t="str">
        <x:v>无明确性别信息</x:v>
      </x:c>
      <x:c r="M78" s="9" t="str">
        <x:v>高尔夫下装</x:v>
      </x:c>
      <x:c r="N78" s="9" t="str">
        <x:v>排行榜_商品榜_销售额榜_热销_运动_瑜伽_健身_球球迷用品-高尔夫裙_2025-11-01_2026-10-31(1).xlsx</x:v>
      </x:c>
      <x:c r="O78" s="9" t="str">
        <x:v>默认</x:v>
      </x:c>
      <x:c r="P78" s="9" t="n">
        <x:v>272</x:v>
      </x:c>
      <x:c r="Q78" s="9" t="str">
        <x:v>76a41cee55316a5b2ae8ed33466d173d90824bcf6f377cac0b9f7eed45c02df4</x:v>
      </x:c>
      <x:c r="R78" s="9" t="str">
        <x:v>MIX_GOLF_AVGPAID_1500_PLUS_ANNUAL2026</x:v>
      </x:c>
      <x:c r="S78" s="9" t="str">
        <x:v>排行榜_商品榜_销售额榜_热销_运动_瑜伽_健身_球球迷用品-高尔夫裙_2025-11-01_2026-10-31(1).xlsx / 默认 / 第272行 / SHA256 76a41cee55316a5b2ae8ed33466d173d90824bcf6f377cac0b9f7eed45c02df4</x:v>
      </x:c>
    </x:row>
    <x:row r="79" ht="58" customHeight="1">
      <x:c r="A79" s="23" t="str">
        <x:v>981935307378</x:v>
      </x:c>
      <x:c r="B79" s="22"/>
      <x:c r="C79" s="22"/>
      <x:c r="D79" s="9" t="str">
        <x:v>clane日本代购~高腰花苞蓬松半身裙</x:v>
      </x:c>
      <x:c r="E79" s="9" t="str">
        <x:v>未提供品牌</x:v>
      </x:c>
      <x:c r="F79" s="9" t="str">
        <x:v>裙装</x:v>
      </x:c>
      <x:c r="G79" s="9" t="str">
        <x:v>运动半身裙</x:v>
      </x:c>
      <x:c r="H79" s="24" t="n">
        <x:v>1320</x:v>
      </x:c>
      <x:c r="I79" s="25" t="e">
        <x:f>HYPERLINK("https://item.taobao.com/item.htm?id=981935307378","打开商品")</x:f>
        <x:v>HYPERLINK is not implemented. linkLocation=https://item.taobao.com/item.htm?id=981935307378, friendlyName=打开商品</x:v>
      </x:c>
      <x:c r="J79" s="25" t="e">
        <x:f>HYPERLINK("https://data.zhiyitech.cn/itemDetail/overview/base?itemId=981935307378","打开知衣")</x:f>
        <x:v>HYPERLINK is not implemented. linkLocation=https://data.zhiyitech.cn/itemDetail/overview/base?itemId=981935307378, friendlyName=打开知衣</x:v>
      </x:c>
      <x:c r="K79" s="25" t="e">
        <x:f>HYPERLINK("https://img.alicdn.com/bao/uploaded/i1/845925391/O1CN01KrDO8P1ph8HkjujJW_!!845925391.jpg","查看主图")</x:f>
        <x:v>HYPERLINK is not implemented. linkLocation=https://img.alicdn.com/bao/uploaded/i1/845925391/O1CN01KrDO8P1ph8HkjujJW_!!845925391.jpg, friendlyName=查看主图</x:v>
      </x:c>
      <x:c r="L79" s="9" t="str">
        <x:v>无明确性别信息</x:v>
      </x:c>
      <x:c r="M79" s="9" t="str">
        <x:v>运动下装</x:v>
      </x:c>
      <x:c r="N79" s="9" t="str">
        <x:v>排行榜_商品榜_销售额榜_热销_运动服_休闲服装-运休闲服装-跑步短裤_2025-11-01_2026-10-31 (7).xlsx</x:v>
      </x:c>
      <x:c r="O79" s="9" t="str">
        <x:v>默认</x:v>
      </x:c>
      <x:c r="P79" s="9" t="n">
        <x:v>212</x:v>
      </x:c>
      <x:c r="Q79" s="9" t="str">
        <x:v>b4959cd74b14f4314b9473c91799b973e0b2ff209bedfdac04b6266e6a5d9ce9</x:v>
      </x:c>
      <x:c r="R79" s="9" t="str">
        <x:v>MIX_SPORT_AVGPAID_1300_1400_ANNUAL2026</x:v>
      </x:c>
      <x:c r="S79" s="9" t="str">
        <x:v>排行榜_商品榜_销售额榜_热销_运动服_休闲服装-运休闲服装-跑步短裤_2025-11-01_2026-10-31 (7).xlsx / 默认 / 第212行 / SHA256 b4959cd74b14f4314b9473c91799b973e0b2ff209bedfdac04b6266e6a5d9ce9</x:v>
      </x:c>
    </x:row>
    <x:row r="80" ht="58" customHeight="1">
      <x:c r="A80" s="23" t="str">
        <x:v>994120701168</x:v>
      </x:c>
      <x:c r="B80" s="22"/>
      <x:c r="C80" s="22"/>
      <x:c r="D80" s="9" t="str">
        <x:v>日本买手代购 un3d 26SS 一月 5226108012 休闲 拼接 百褶 半身裙</x:v>
      </x:c>
      <x:c r="E80" s="9" t="str">
        <x:v>未提供品牌</x:v>
      </x:c>
      <x:c r="F80" s="9" t="str">
        <x:v>裙装</x:v>
      </x:c>
      <x:c r="G80" s="9" t="str">
        <x:v>运动半身裙</x:v>
      </x:c>
      <x:c r="H80" s="24" t="n">
        <x:v>1727.88</x:v>
      </x:c>
      <x:c r="I80" s="25" t="e">
        <x:f>HYPERLINK("https://item.taobao.com/item.htm?id=994120701168","打开商品")</x:f>
        <x:v>HYPERLINK is not implemented. linkLocation=https://item.taobao.com/item.htm?id=994120701168, friendlyName=打开商品</x:v>
      </x:c>
      <x:c r="J80" s="25" t="e">
        <x:f>HYPERLINK("https://data.zhiyitech.cn/itemDetail/overview/base?itemId=994120701168","打开知衣")</x:f>
        <x:v>HYPERLINK is not implemented. linkLocation=https://data.zhiyitech.cn/itemDetail/overview/base?itemId=994120701168, friendlyName=打开知衣</x:v>
      </x:c>
      <x:c r="K80" s="25" t="e">
        <x:f>HYPERLINK("https://img.alicdn.com/i3/74297004/O1CN016uLcJh21bt9Ir5zeN_!!74297004.jpg","查看主图")</x:f>
        <x:v>HYPERLINK is not implemented. linkLocation=https://img.alicdn.com/i3/74297004/O1CN016uLcJh21bt9Ir5zeN_!!74297004.jpg, friendlyName=查看主图</x:v>
      </x:c>
      <x:c r="L80" s="9" t="str">
        <x:v>无明确性别信息</x:v>
      </x:c>
      <x:c r="M80" s="9" t="str">
        <x:v>运动下装</x:v>
      </x:c>
      <x:c r="N80" s="9" t="str">
        <x:v>排行榜_商品榜_销售额榜_热销_运动服_休闲服装-运休闲服装-跑步短裤_2025-11-01_2026-10-31 (3).xlsx</x:v>
      </x:c>
      <x:c r="O80" s="9" t="str">
        <x:v>默认</x:v>
      </x:c>
      <x:c r="P80" s="9" t="n">
        <x:v>58</x:v>
      </x:c>
      <x:c r="Q80" s="9" t="str">
        <x:v>75c32f8ec048c7ff6d1862fee5bc8a3793f270522255a1b54f34ebdea84168ec</x:v>
      </x:c>
      <x:c r="R80" s="9" t="str">
        <x:v>MIX_SPORT_AVGPAID_1700_1800_ANNUAL2026</x:v>
      </x:c>
      <x:c r="S80" s="9" t="str">
        <x:v>排行榜_商品榜_销售额榜_热销_运动服_休闲服装-运休闲服装-跑步短裤_2025-11-01_2026-10-31 (3).xlsx / 默认 / 第58行 / SHA256 75c32f8ec048c7ff6d1862fee5bc8a3793f270522255a1b54f34ebdea84168ec</x:v>
      </x:c>
    </x:row>
    <x:row r="81" ht="58" customHeight="1">
      <x:c r="A81" s="23" t="str">
        <x:v>754077703561</x:v>
      </x:c>
      <x:c r="B81" s="22"/>
      <x:c r="C81" s="22"/>
      <x:c r="D81" s="9" t="str">
        <x:v>法国网球服Lacoste运动休闲</x:v>
      </x:c>
      <x:c r="E81" s="9" t="str">
        <x:v>LACOSTE/拉科斯特</x:v>
      </x:c>
      <x:c r="F81" s="9" t="str">
        <x:v>裤装</x:v>
      </x:c>
      <x:c r="G81" s="9" t="str">
        <x:v>运动裤</x:v>
      </x:c>
      <x:c r="H81" s="24" t="n">
        <x:v>1000.45</x:v>
      </x:c>
      <x:c r="I81" s="25" t="e">
        <x:f>HYPERLINK("https://item.taobao.com/item.htm?id=754077703561","打开商品")</x:f>
        <x:v>HYPERLINK is not implemented. linkLocation=https://item.taobao.com/item.htm?id=754077703561, friendlyName=打开商品</x:v>
      </x:c>
      <x:c r="J81" s="25" t="e">
        <x:f>HYPERLINK("https://data.zhiyitech.cn/itemDetail/overview/base?itemId=754077703561","打开知衣")</x:f>
        <x:v>HYPERLINK is not implemented. linkLocation=https://data.zhiyitech.cn/itemDetail/overview/base?itemId=754077703561, friendlyName=打开知衣</x:v>
      </x:c>
      <x:c r="K81" s="25" t="e">
        <x:f>HYPERLINK("https://img.alicdn.com/bao/uploaded/i1/305575361/O1CN01b8mCj81pTOFiicaX9_!!0-item_pic.jpg","查看主图")</x:f>
        <x:v>HYPERLINK is not implemented. linkLocation=https://img.alicdn.com/bao/uploaded/i1/305575361/O1CN01b8mCj81pTOFiicaX9_!!0-item_pic.jpg, friendlyName=查看主图</x:v>
      </x:c>
      <x:c r="L81" s="9" t="str">
        <x:v>无明确性别信息</x:v>
      </x:c>
      <x:c r="M81" s="9" t="str">
        <x:v>运动下装</x:v>
      </x:c>
      <x:c r="N81" s="9" t="str">
        <x:v>排行榜_商品榜_销售额榜_热销_运动服_休闲服装-运休闲服装-跑步短裤_2025-11-01_2026-10-31 (10).xlsx</x:v>
      </x:c>
      <x:c r="O81" s="9" t="str">
        <x:v>默认</x:v>
      </x:c>
      <x:c r="P81" s="9" t="n">
        <x:v>446</x:v>
      </x:c>
      <x:c r="Q81" s="9" t="str">
        <x:v>77c2723e3730f60e82908e61638dbb3700ba4d487e03331cf25303638bb2767e</x:v>
      </x:c>
      <x:c r="R81" s="9" t="str">
        <x:v>MIX_SPORT_AVGPAID_1000_1100_ANNUAL2026</x:v>
      </x:c>
      <x:c r="S81" s="9" t="str">
        <x:v>排行榜_商品榜_销售额榜_热销_运动服_休闲服装-运休闲服装-跑步短裤_2025-11-01_2026-10-31 (10).xlsx / 默认 / 第446行 / SHA256 77c2723e3730f60e82908e61638dbb3700ba4d487e03331cf25303638bb2767e</x:v>
      </x:c>
    </x:row>
    <x:row r="82" ht="58" customHeight="1">
      <x:c r="A82" s="23" t="str">
        <x:v>695727444690</x:v>
      </x:c>
      <x:c r="B82" s="22"/>
      <x:c r="C82" s="22"/>
      <x:c r="D82" s="9" t="str">
        <x:v>欧克利品牌青年运动裤新款</x:v>
      </x:c>
      <x:c r="E82" s="9" t="str">
        <x:v>OAKLEY/欧克利</x:v>
      </x:c>
      <x:c r="F82" s="9" t="str">
        <x:v>裤装</x:v>
      </x:c>
      <x:c r="G82" s="9" t="str">
        <x:v>运动裤</x:v>
      </x:c>
      <x:c r="H82" s="24" t="n">
        <x:v>1853</x:v>
      </x:c>
      <x:c r="I82" s="25" t="e">
        <x:f>HYPERLINK("https://item.taobao.com/item.htm?id=695727444690","打开商品")</x:f>
        <x:v>HYPERLINK is not implemented. linkLocation=https://item.taobao.com/item.htm?id=695727444690, friendlyName=打开商品</x:v>
      </x:c>
      <x:c r="J82" s="25" t="e">
        <x:f>HYPERLINK("https://data.zhiyitech.cn/itemDetail/overview/base?itemId=695727444690","打开知衣")</x:f>
        <x:v>HYPERLINK is not implemented. linkLocation=https://data.zhiyitech.cn/itemDetail/overview/base?itemId=695727444690, friendlyName=打开知衣</x:v>
      </x:c>
      <x:c r="K82" s="25" t="e">
        <x:f>HYPERLINK("https://img.alicdn.com/bao/uploaded/i2/741132269/O1CN01Xs0KTS1SdFmhDzHku_!!4611686018427381741-0-item_pic.jpg","查看主图")</x:f>
        <x:v>HYPERLINK is not implemented. linkLocation=https://img.alicdn.com/bao/uploaded/i2/741132269/O1CN01Xs0KTS1SdFmhDzHku_!!4611686018427381741-0-item_pic.jpg, friendlyName=查看主图</x:v>
      </x:c>
      <x:c r="L82" s="9" t="str">
        <x:v>无明确性别信息</x:v>
      </x:c>
      <x:c r="M82" s="9" t="str">
        <x:v>运动下装</x:v>
      </x:c>
      <x:c r="N82" s="9" t="str">
        <x:v>排行榜_商品榜_销售额榜_热销_运动服_休闲服装-运休闲服装-跑步短裤_2025-11-01_2026-10-31 (2).xlsx</x:v>
      </x:c>
      <x:c r="O82" s="9" t="str">
        <x:v>默认</x:v>
      </x:c>
      <x:c r="P82" s="9" t="n">
        <x:v>38</x:v>
      </x:c>
      <x:c r="Q82" s="9" t="str">
        <x:v>d4303838acbe96e5d87b9779c87272c941a19ebdcbae2ed4b34c418160904013</x:v>
      </x:c>
      <x:c r="R82" s="9" t="str">
        <x:v>MIX_SPORT_AVGPAID_1800_1900_ANNUAL2026</x:v>
      </x:c>
      <x:c r="S82" s="9" t="str">
        <x:v>排行榜_商品榜_销售额榜_热销_运动服_休闲服装-运休闲服装-跑步短裤_2025-11-01_2026-10-31 (2).xlsx / 默认 / 第38行 / SHA256 d4303838acbe96e5d87b9779c87272c941a19ebdcbae2ed4b34c418160904013</x:v>
      </x:c>
    </x:row>
    <x:row r="83" ht="58" customHeight="1">
      <x:c r="A83" s="23" t="str">
        <x:v>1056709787496</x:v>
      </x:c>
      <x:c r="B83" s="22"/>
      <x:c r="C83" s="22"/>
      <x:c r="D83" s="9" t="str">
        <x:v>北面巅峰系列拒水防风软壳裤</x:v>
      </x:c>
      <x:c r="E83" s="9" t="str">
        <x:v>THE NORTH FACE/北面</x:v>
      </x:c>
      <x:c r="F83" s="9" t="str">
        <x:v>裤装</x:v>
      </x:c>
      <x:c r="G83" s="9" t="str">
        <x:v>软壳运动裤</x:v>
      </x:c>
      <x:c r="H83" s="24" t="n">
        <x:v>1406.24</x:v>
      </x:c>
      <x:c r="I83" s="25" t="e">
        <x:f>HYPERLINK("https://item.taobao.com/item.htm?id=1056709787496","打开商品")</x:f>
        <x:v>HYPERLINK is not implemented. linkLocation=https://item.taobao.com/item.htm?id=1056709787496, friendlyName=打开商品</x:v>
      </x:c>
      <x:c r="J83" s="25" t="e">
        <x:f>HYPERLINK("https://data.zhiyitech.cn/itemDetail/overview/base?itemId=1056709787496","打开知衣")</x:f>
        <x:v>HYPERLINK is not implemented. linkLocation=https://data.zhiyitech.cn/itemDetail/overview/base?itemId=1056709787496, friendlyName=打开知衣</x:v>
      </x:c>
      <x:c r="K83" s="25" t="e">
        <x:f>HYPERLINK("https://img.alicdn.com/bao/uploaded/i3/97241050/O1CN01gbqLS21Jcx10vDBae_!!97241050.jpg","查看主图")</x:f>
        <x:v>HYPERLINK is not implemented. linkLocation=https://img.alicdn.com/bao/uploaded/i3/97241050/O1CN01gbqLS21Jcx10vDBae_!!97241050.jpg, friendlyName=查看主图</x:v>
      </x:c>
      <x:c r="L83" s="9" t="str">
        <x:v>无明确性别信息</x:v>
      </x:c>
      <x:c r="M83" s="9" t="str">
        <x:v>运动下装</x:v>
      </x:c>
      <x:c r="N83" s="9" t="str">
        <x:v>排行榜_商品榜_销售额榜_热销_运动服_休闲服装-运休闲服装-跑步短裤_2025-11-01_2026-10-31 (6).xlsx</x:v>
      </x:c>
      <x:c r="O83" s="9" t="str">
        <x:v>默认</x:v>
      </x:c>
      <x:c r="P83" s="9" t="n">
        <x:v>98</x:v>
      </x:c>
      <x:c r="Q83" s="9" t="str">
        <x:v>51c5baf852346f6326f6a242f8205ac9db74e4145a36be5e01e3352750e8cecc</x:v>
      </x:c>
      <x:c r="R83" s="9" t="str">
        <x:v>MIX_SPORT_AVGPAID_1400_1500_ANNUAL2026</x:v>
      </x:c>
      <x:c r="S83" s="9" t="str">
        <x:v>排行榜_商品榜_销售额榜_热销_运动服_休闲服装-运休闲服装-跑步短裤_2025-11-01_2026-10-31 (6).xlsx / 默认 / 第98行 / SHA256 51c5baf852346f6326f6a242f8205ac9db74e4145a36be5e01e3352750e8cecc</x:v>
      </x:c>
    </x:row>
    <x:row r="84" ht="58" customHeight="1">
      <x:c r="A84" s="23" t="str">
        <x:v>1019898167151</x:v>
      </x:c>
      <x:c r="B84" s="22"/>
      <x:c r="C84" s="22"/>
      <x:c r="D84" s="9" t="str">
        <x:v>静奢甄选阿迪达斯三叶草休闲长裤</x:v>
      </x:c>
      <x:c r="E84" s="9" t="str">
        <x:v>ADIDAS/阿迪达斯</x:v>
      </x:c>
      <x:c r="F84" s="9" t="str">
        <x:v>长裤</x:v>
      </x:c>
      <x:c r="G84" s="9" t="str">
        <x:v>训练／运动长裤</x:v>
      </x:c>
      <x:c r="H84" s="24" t="n">
        <x:v>1128.5</x:v>
      </x:c>
      <x:c r="I84" s="25" t="e">
        <x:f>HYPERLINK("https://item.taobao.com/item.htm?id=1019898167151","打开商品")</x:f>
        <x:v>HYPERLINK is not implemented. linkLocation=https://item.taobao.com/item.htm?id=1019898167151, friendlyName=打开商品</x:v>
      </x:c>
      <x:c r="J84" s="25" t="e">
        <x:f>HYPERLINK("https://data.zhiyitech.cn/itemDetail/overview/base?itemId=1019898167151","打开知衣")</x:f>
        <x:v>HYPERLINK is not implemented. linkLocation=https://data.zhiyitech.cn/itemDetail/overview/base?itemId=1019898167151, friendlyName=打开知衣</x:v>
      </x:c>
      <x:c r="K84" s="25" t="e">
        <x:f>HYPERLINK("https://img.alicdn.com/bao/uploaded/i4/446338500/O1CN01k2J5WH2Cf3hjcJxgG-446338500.jpg","查看主图")</x:f>
        <x:v>HYPERLINK is not implemented. linkLocation=https://img.alicdn.com/bao/uploaded/i4/446338500/O1CN01k2J5WH2Cf3hjcJxgG-446338500.jpg, friendlyName=查看主图</x:v>
      </x:c>
      <x:c r="L84" s="9" t="str">
        <x:v>无明确性别信息</x:v>
      </x:c>
      <x:c r="M84" s="9" t="str">
        <x:v>运动下装</x:v>
      </x:c>
      <x:c r="N84" s="9" t="str">
        <x:v>排行榜_商品榜_销售额榜_热销_运动服_休闲服装-运休闲服装-跑步短裤_2025-11-01_2026-10-31 (9).xlsx</x:v>
      </x:c>
      <x:c r="O84" s="9" t="str">
        <x:v>默认</x:v>
      </x:c>
      <x:c r="P84" s="9" t="n">
        <x:v>303</x:v>
      </x:c>
      <x:c r="Q84" s="9" t="str">
        <x:v>bf4c13b761e645dc5b709fecfe2eba562c597469bada8d60d13514dd26d590ba</x:v>
      </x:c>
      <x:c r="R84" s="9" t="str">
        <x:v>MIX_SPORT_AVGPAID_1100_1200_ANNUAL2026</x:v>
      </x:c>
      <x:c r="S84" s="9" t="str">
        <x:v>排行榜_商品榜_销售额榜_热销_运动服_休闲服装-运休闲服装-跑步短裤_2025-11-01_2026-10-31 (9).xlsx / 默认 / 第303行 / SHA256 bf4c13b761e645dc5b709fecfe2eba562c597469bada8d60d13514dd26d590ba</x:v>
      </x:c>
    </x:row>
    <x:row r="85" ht="58" customHeight="1">
      <x:c r="A85" s="23" t="str">
        <x:v>1020271791950</x:v>
      </x:c>
      <x:c r="B85" s="22"/>
      <x:c r="C85" s="22"/>
      <x:c r="D85" s="9" t="str">
        <x:v>郑浩妍同款阿迪达斯三叶草牛仔裤</x:v>
      </x:c>
      <x:c r="E85" s="9" t="str">
        <x:v>ADIDAS/阿迪达斯</x:v>
      </x:c>
      <x:c r="F85" s="9" t="str">
        <x:v>长裤</x:v>
      </x:c>
      <x:c r="G85" s="9" t="str">
        <x:v>训练／运动长裤</x:v>
      </x:c>
      <x:c r="H85" s="24" t="n">
        <x:v>1413.82</x:v>
      </x:c>
      <x:c r="I85" s="25" t="e">
        <x:f>HYPERLINK("https://item.taobao.com/item.htm?id=1020271791950","打开商品")</x:f>
        <x:v>HYPERLINK is not implemented. linkLocation=https://item.taobao.com/item.htm?id=1020271791950, friendlyName=打开商品</x:v>
      </x:c>
      <x:c r="J85" s="25" t="e">
        <x:f>HYPERLINK("https://data.zhiyitech.cn/itemDetail/overview/base?itemId=1020271791950","打开知衣")</x:f>
        <x:v>HYPERLINK is not implemented. linkLocation=https://data.zhiyitech.cn/itemDetail/overview/base?itemId=1020271791950, friendlyName=打开知衣</x:v>
      </x:c>
      <x:c r="K85" s="25" t="e">
        <x:f>HYPERLINK("https://img.alicdn.com/bao/uploaded/i4/2211842372764/O1CN01xeHMRhrdSgG2vH2e_!!4611686018427384988-0-item_pic.jpg","查看主图")</x:f>
        <x:v>HYPERLINK is not implemented. linkLocation=https://img.alicdn.com/bao/uploaded/i4/2211842372764/O1CN01xeHMRhrdSgG2vH2e_!!4611686018427384988-0-item_pic.jpg, friendlyName=查看主图</x:v>
      </x:c>
      <x:c r="L85" s="9" t="str">
        <x:v>无明确性别信息</x:v>
      </x:c>
      <x:c r="M85" s="9" t="str">
        <x:v>运动下装</x:v>
      </x:c>
      <x:c r="N85" s="9" t="str">
        <x:v>排行榜_商品榜_销售额榜_热销_运动服_休闲服装-运休闲服装-跑步短裤_2025-11-01_2026-10-31 (6).xlsx</x:v>
      </x:c>
      <x:c r="O85" s="9" t="str">
        <x:v>默认</x:v>
      </x:c>
      <x:c r="P85" s="9" t="n">
        <x:v>23</x:v>
      </x:c>
      <x:c r="Q85" s="9" t="str">
        <x:v>51c5baf852346f6326f6a242f8205ac9db74e4145a36be5e01e3352750e8cecc</x:v>
      </x:c>
      <x:c r="R85" s="9" t="str">
        <x:v>MIX_SPORT_AVGPAID_1400_1500_ANNUAL2026</x:v>
      </x:c>
      <x:c r="S85" s="9" t="str">
        <x:v>排行榜_商品榜_销售额榜_热销_运动服_休闲服装-运休闲服装-跑步短裤_2025-11-01_2026-10-31 (6).xlsx / 默认 / 第23行 / SHA256 51c5baf852346f6326f6a242f8205ac9db74e4145a36be5e01e3352750e8cecc</x:v>
      </x:c>
    </x:row>
    <x:row r="86" ht="58" customHeight="1">
      <x:c r="A86" s="23" t="str">
        <x:v>1083384162155</x:v>
      </x:c>
      <x:c r="B86" s="22"/>
      <x:c r="C86" s="22"/>
      <x:c r="D86" s="9" t="str">
        <x:v>苏翊鸣同款阿迪达斯三叶草运动裤</x:v>
      </x:c>
      <x:c r="E86" s="9" t="str">
        <x:v>ADIDAS/阿迪达斯</x:v>
      </x:c>
      <x:c r="F86" s="9" t="str">
        <x:v>长裤</x:v>
      </x:c>
      <x:c r="G86" s="9" t="str">
        <x:v>训练／运动长裤</x:v>
      </x:c>
      <x:c r="H86" s="24" t="n">
        <x:v>1079.42</x:v>
      </x:c>
      <x:c r="I86" s="25" t="e">
        <x:f>HYPERLINK("https://item.taobao.com/item.htm?id=1083384162155","打开商品")</x:f>
        <x:v>HYPERLINK is not implemented. linkLocation=https://item.taobao.com/item.htm?id=1083384162155, friendlyName=打开商品</x:v>
      </x:c>
      <x:c r="J86" s="25" t="e">
        <x:f>HYPERLINK("https://data.zhiyitech.cn/itemDetail/overview/base?itemId=1083384162155","打开知衣")</x:f>
        <x:v>HYPERLINK is not implemented. linkLocation=https://data.zhiyitech.cn/itemDetail/overview/base?itemId=1083384162155, friendlyName=打开知衣</x:v>
      </x:c>
      <x:c r="K86" s="25" t="e">
        <x:f>HYPERLINK("https://img.alicdn.com/bao/uploaded/i1/446338500/O1CN019vYC9Yin22L21stE_!!4611686018427385284-0-item_pic.jpg","查看主图")</x:f>
        <x:v>HYPERLINK is not implemented. linkLocation=https://img.alicdn.com/bao/uploaded/i1/446338500/O1CN019vYC9Yin22L21stE_!!4611686018427385284-0-item_pic.jpg, friendlyName=查看主图</x:v>
      </x:c>
      <x:c r="L86" s="9" t="str">
        <x:v>无明确性别信息</x:v>
      </x:c>
      <x:c r="M86" s="9" t="str">
        <x:v>运动下装</x:v>
      </x:c>
      <x:c r="N86" s="9" t="str">
        <x:v>排行榜_商品榜_销售额榜_热销_运动服_休闲服装-运休闲服装-跑步短裤_2025-11-01_2026-10-31 (10).xlsx</x:v>
      </x:c>
      <x:c r="O86" s="9" t="str">
        <x:v>默认</x:v>
      </x:c>
      <x:c r="P86" s="9" t="n">
        <x:v>408</x:v>
      </x:c>
      <x:c r="Q86" s="9" t="str">
        <x:v>77c2723e3730f60e82908e61638dbb3700ba4d487e03331cf25303638bb2767e</x:v>
      </x:c>
      <x:c r="R86" s="9" t="str">
        <x:v>MIX_SPORT_AVGPAID_1000_1100_ANNUAL2026</x:v>
      </x:c>
      <x:c r="S86" s="9" t="str">
        <x:v>排行榜_商品榜_销售额榜_热销_运动服_休闲服装-运休闲服装-跑步短裤_2025-11-01_2026-10-31 (10).xlsx / 默认 / 第408行 / SHA256 77c2723e3730f60e82908e61638dbb3700ba4d487e03331cf25303638bb2767e</x:v>
      </x:c>
    </x:row>
    <x:row r="87" ht="58" customHeight="1">
      <x:c r="A87" s="23" t="str">
        <x:v>853173820619</x:v>
      </x:c>
      <x:c r="B87" s="22"/>
      <x:c r="C87" s="22"/>
      <x:c r="D87" s="9" t="str">
        <x:v>阿迪达斯三叶草时尚阔腿牛仔裤</x:v>
      </x:c>
      <x:c r="E87" s="9" t="str">
        <x:v>ADIDAS/阿迪达斯</x:v>
      </x:c>
      <x:c r="F87" s="9" t="str">
        <x:v>长裤</x:v>
      </x:c>
      <x:c r="G87" s="9" t="str">
        <x:v>训练／运动长裤</x:v>
      </x:c>
      <x:c r="H87" s="24" t="n">
        <x:v>1046.53</x:v>
      </x:c>
      <x:c r="I87" s="25" t="e">
        <x:f>HYPERLINK("https://item.taobao.com/item.htm?id=853173820619","打开商品")</x:f>
        <x:v>HYPERLINK is not implemented. linkLocation=https://item.taobao.com/item.htm?id=853173820619, friendlyName=打开商品</x:v>
      </x:c>
      <x:c r="J87" s="25" t="e">
        <x:f>HYPERLINK("https://data.zhiyitech.cn/itemDetail/overview/base?itemId=853173820619","打开知衣")</x:f>
        <x:v>HYPERLINK is not implemented. linkLocation=https://data.zhiyitech.cn/itemDetail/overview/base?itemId=853173820619, friendlyName=打开知衣</x:v>
      </x:c>
      <x:c r="K87" s="25" t="e">
        <x:f>HYPERLINK("https://img.alicdn.com/bao/uploaded/i1/446338500/O1CN01B0o88B2Cf3hIWlrWf-446338500.jpg","查看主图")</x:f>
        <x:v>HYPERLINK is not implemented. linkLocation=https://img.alicdn.com/bao/uploaded/i1/446338500/O1CN01B0o88B2Cf3hIWlrWf-446338500.jpg, friendlyName=查看主图</x:v>
      </x:c>
      <x:c r="L87" s="9" t="str">
        <x:v>无明确性别信息</x:v>
      </x:c>
      <x:c r="M87" s="9" t="str">
        <x:v>运动下装</x:v>
      </x:c>
      <x:c r="N87" s="9" t="str">
        <x:v>排行榜_商品榜_销售额榜_热销_运动服_休闲服装-运休闲服装-跑步短裤_2025-11-01_2026-10-31 (10).xlsx</x:v>
      </x:c>
      <x:c r="O87" s="9" t="str">
        <x:v>默认</x:v>
      </x:c>
      <x:c r="P87" s="9" t="n">
        <x:v>89</x:v>
      </x:c>
      <x:c r="Q87" s="9" t="str">
        <x:v>77c2723e3730f60e82908e61638dbb3700ba4d487e03331cf25303638bb2767e</x:v>
      </x:c>
      <x:c r="R87" s="9" t="str">
        <x:v>MIX_SPORT_AVGPAID_1000_1100_ANNUAL2026</x:v>
      </x:c>
      <x:c r="S87" s="9" t="str">
        <x:v>排行榜_商品榜_销售额榜_热销_运动服_休闲服装-运休闲服装-跑步短裤_2025-11-01_2026-10-31 (10).xlsx / 默认 / 第89行 / SHA256 77c2723e3730f60e82908e61638dbb3700ba4d487e03331cf25303638bb2767e</x:v>
      </x:c>
    </x:row>
    <x:row r="88" ht="58" customHeight="1">
      <x:c r="A88" s="23" t="str">
        <x:v>987554672949</x:v>
      </x:c>
      <x:c r="B88" s="22"/>
      <x:c r="C88" s="22"/>
      <x:c r="D88" s="9" t="str">
        <x:v>adidas三叶草正品THUG CLUB联名休闲潮流宽松运动裤KC2216KC2217</x:v>
      </x:c>
      <x:c r="E88" s="9" t="str">
        <x:v>ADIDAS/阿迪达斯</x:v>
      </x:c>
      <x:c r="F88" s="9" t="str">
        <x:v>长裤</x:v>
      </x:c>
      <x:c r="G88" s="9" t="str">
        <x:v>训练／运动长裤</x:v>
      </x:c>
      <x:c r="H88" s="24" t="n">
        <x:v>1450.1</x:v>
      </x:c>
      <x:c r="I88" s="25" t="e">
        <x:f>HYPERLINK("https://item.taobao.com/item.htm?id=987554672949","打开商品")</x:f>
        <x:v>HYPERLINK is not implemented. linkLocation=https://item.taobao.com/item.htm?id=987554672949, friendlyName=打开商品</x:v>
      </x:c>
      <x:c r="J88" s="25" t="e">
        <x:f>HYPERLINK("https://data.zhiyitech.cn/itemDetail/overview/base?itemId=987554672949","打开知衣")</x:f>
        <x:v>HYPERLINK is not implemented. linkLocation=https://data.zhiyitech.cn/itemDetail/overview/base?itemId=987554672949, friendlyName=打开知衣</x:v>
      </x:c>
      <x:c r="K88" s="25" t="e">
        <x:f>HYPERLINK("https://img.alicdn.com/bao/uploaded/i3/42395624/O1CN01IdJs6v1rPqZUF3NKf_!!42395624.jpg","查看主图")</x:f>
        <x:v>HYPERLINK is not implemented. linkLocation=https://img.alicdn.com/bao/uploaded/i3/42395624/O1CN01IdJs6v1rPqZUF3NKf_!!42395624.jpg, friendlyName=查看主图</x:v>
      </x:c>
      <x:c r="L88" s="9" t="str">
        <x:v>无明确性别信息</x:v>
      </x:c>
      <x:c r="M88" s="9" t="str">
        <x:v>运动下装</x:v>
      </x:c>
      <x:c r="N88" s="9" t="str">
        <x:v>排行榜_商品榜_销售额榜_热销_运动服_休闲服装-运休闲服装-跑步短裤_2025-11-01_2026-10-31 (6).xlsx</x:v>
      </x:c>
      <x:c r="O88" s="9" t="str">
        <x:v>默认</x:v>
      </x:c>
      <x:c r="P88" s="9" t="n">
        <x:v>96</x:v>
      </x:c>
      <x:c r="Q88" s="9" t="str">
        <x:v>51c5baf852346f6326f6a242f8205ac9db74e4145a36be5e01e3352750e8cecc</x:v>
      </x:c>
      <x:c r="R88" s="9" t="str">
        <x:v>MIX_SPORT_AVGPAID_1400_1500_ANNUAL2026</x:v>
      </x:c>
      <x:c r="S88" s="9" t="str">
        <x:v>排行榜_商品榜_销售额榜_热销_运动服_休闲服装-运休闲服装-跑步短裤_2025-11-01_2026-10-31 (6).xlsx / 默认 / 第96行 / SHA256 51c5baf852346f6326f6a242f8205ac9db74e4145a36be5e01e3352750e8cecc</x:v>
      </x:c>
    </x:row>
    <x:row r="89" ht="58" customHeight="1">
      <x:c r="A89" s="23" t="str">
        <x:v>992045482742</x:v>
      </x:c>
      <x:c r="B89" s="22"/>
      <x:c r="C89" s="22"/>
      <x:c r="D89" s="9" t="str">
        <x:v>Adidas阿迪达斯 Y-3 羊毛法兰绒经典复古工装运动裤休闲裤 IZ1879</x:v>
      </x:c>
      <x:c r="E89" s="9" t="str">
        <x:v>ADIDAS/阿迪达斯</x:v>
      </x:c>
      <x:c r="F89" s="9" t="str">
        <x:v>长裤</x:v>
      </x:c>
      <x:c r="G89" s="9" t="str">
        <x:v>训练／运动长裤</x:v>
      </x:c>
      <x:c r="H89" s="24" t="n">
        <x:v>1150.98</x:v>
      </x:c>
      <x:c r="I89" s="25" t="e">
        <x:f>HYPERLINK("https://item.taobao.com/item.htm?id=992045482742","打开商品")</x:f>
        <x:v>HYPERLINK is not implemented. linkLocation=https://item.taobao.com/item.htm?id=992045482742, friendlyName=打开商品</x:v>
      </x:c>
      <x:c r="J89" s="25" t="e">
        <x:f>HYPERLINK("https://data.zhiyitech.cn/itemDetail/overview/base?itemId=992045482742","打开知衣")</x:f>
        <x:v>HYPERLINK is not implemented. linkLocation=https://data.zhiyitech.cn/itemDetail/overview/base?itemId=992045482742, friendlyName=打开知衣</x:v>
      </x:c>
      <x:c r="K89" s="25" t="e">
        <x:f>HYPERLINK("https://img.alicdn.com/bao/uploaded/i3/120683108/O1CN01KFAAPx1YpW52d2Bya_!!120683108.jpg","查看主图")</x:f>
        <x:v>HYPERLINK is not implemented. linkLocation=https://img.alicdn.com/bao/uploaded/i3/120683108/O1CN01KFAAPx1YpW52d2Bya_!!120683108.jpg, friendlyName=查看主图</x:v>
      </x:c>
      <x:c r="L89" s="9" t="str">
        <x:v>无明确性别信息</x:v>
      </x:c>
      <x:c r="M89" s="9" t="str">
        <x:v>运动下装</x:v>
      </x:c>
      <x:c r="N89" s="9" t="str">
        <x:v>排行榜_商品榜_销售额榜_热销_运动服_休闲服装-运休闲服装-跑步短裤_2025-11-01_2026-10-31 (9).xlsx</x:v>
      </x:c>
      <x:c r="O89" s="9" t="str">
        <x:v>默认</x:v>
      </x:c>
      <x:c r="P89" s="9" t="n">
        <x:v>368</x:v>
      </x:c>
      <x:c r="Q89" s="9" t="str">
        <x:v>bf4c13b761e645dc5b709fecfe2eba562c597469bada8d60d13514dd26d590ba</x:v>
      </x:c>
      <x:c r="R89" s="9" t="str">
        <x:v>MIX_SPORT_AVGPAID_1100_1200_ANNUAL2026</x:v>
      </x:c>
      <x:c r="S89" s="9" t="str">
        <x:v>排行榜_商品榜_销售额榜_热销_运动服_休闲服装-运休闲服装-跑步短裤_2025-11-01_2026-10-31 (9).xlsx / 默认 / 第368行 / SHA256 bf4c13b761e645dc5b709fecfe2eba562c597469bada8d60d13514dd26d590ba</x:v>
      </x:c>
    </x:row>
    <x:row r="90" ht="58" customHeight="1">
      <x:c r="A90" s="23" t="str">
        <x:v>1001407497046</x:v>
      </x:c>
      <x:c r="B90" s="22"/>
      <x:c r="C90" s="22"/>
      <x:c r="D90" s="9" t="str">
        <x:v>澳洲直邮 ALO 针织高腰微喇叭裤 Denim Knit High-Waist Flare Pant</x:v>
      </x:c>
      <x:c r="E90" s="9" t="str">
        <x:v>ALO</x:v>
      </x:c>
      <x:c r="F90" s="9" t="str">
        <x:v>长裤</x:v>
      </x:c>
      <x:c r="G90" s="9" t="str">
        <x:v>训练／运动长裤</x:v>
      </x:c>
      <x:c r="H90" s="24" t="n">
        <x:v>1500.25</x:v>
      </x:c>
      <x:c r="I90" s="25" t="e">
        <x:f>HYPERLINK("https://item.taobao.com/item.htm?id=1001407497046","打开商品")</x:f>
        <x:v>HYPERLINK is not implemented. linkLocation=https://item.taobao.com/item.htm?id=1001407497046, friendlyName=打开商品</x:v>
      </x:c>
      <x:c r="J90" s="25" t="e">
        <x:f>HYPERLINK("https://data.zhiyitech.cn/itemDetail/overview/base?itemId=1001407497046","打开知衣")</x:f>
        <x:v>HYPERLINK is not implemented. linkLocation=https://data.zhiyitech.cn/itemDetail/overview/base?itemId=1001407497046, friendlyName=打开知衣</x:v>
      </x:c>
      <x:c r="K90" s="25" t="e">
        <x:f>HYPERLINK("https://img.alicdn.com/imgextra/i3/103857299/O1CN016OWk6u23mzzUiET1I_!!103857299.jpg","查看主图")</x:f>
        <x:v>HYPERLINK is not implemented. linkLocation=https://img.alicdn.com/imgextra/i3/103857299/O1CN016OWk6u23mzzUiET1I_!!103857299.jpg, friendlyName=查看主图</x:v>
      </x:c>
      <x:c r="L90" s="9" t="str">
        <x:v>无明确性别信息</x:v>
      </x:c>
      <x:c r="M90" s="9" t="str">
        <x:v>运动下装</x:v>
      </x:c>
      <x:c r="N90" s="9" t="str">
        <x:v>排行榜_商品榜_销售额榜_热销_运动服_休闲服装-运休闲服装-跑步短裤_2025-11-01_2026-10-31 (5).xlsx</x:v>
      </x:c>
      <x:c r="O90" s="9" t="str">
        <x:v>默认</x:v>
      </x:c>
      <x:c r="P90" s="9" t="n">
        <x:v>153</x:v>
      </x:c>
      <x:c r="Q90" s="9" t="str">
        <x:v>9ad7424665e3f8b592ed8cec3e99707eea5b9bd2316d324ab5977c56b4039ec9</x:v>
      </x:c>
      <x:c r="R90" s="9" t="str">
        <x:v>MIX_SPORT_AVGPAID_1500_1600_ANNUAL2026</x:v>
      </x:c>
      <x:c r="S90" s="9" t="str">
        <x:v>排行榜_商品榜_销售额榜_热销_运动服_休闲服装-运休闲服装-跑步短裤_2025-11-01_2026-10-31 (5).xlsx / 默认 / 第153行 / SHA256 9ad7424665e3f8b592ed8cec3e99707eea5b9bd2316d324ab5977c56b4039ec9</x:v>
      </x:c>
    </x:row>
    <x:row r="91" ht="58" customHeight="1">
      <x:c r="A91" s="23" t="str">
        <x:v>1036892528753</x:v>
      </x:c>
      <x:c r="B91" s="22"/>
      <x:c r="C91" s="22"/>
      <x:c r="D91" s="9" t="str">
        <x:v>【澳洲直邮】ALO 网纱高腰长裤 Airlift Mesh High-Waist Cherish</x:v>
      </x:c>
      <x:c r="E91" s="9" t="str">
        <x:v>ALO</x:v>
      </x:c>
      <x:c r="F91" s="9" t="str">
        <x:v>长裤</x:v>
      </x:c>
      <x:c r="G91" s="9" t="str">
        <x:v>训练／运动长裤</x:v>
      </x:c>
      <x:c r="H91" s="24" t="n">
        <x:v>1275</x:v>
      </x:c>
      <x:c r="I91" s="25" t="e">
        <x:f>HYPERLINK("https://item.taobao.com/item.htm?id=1036892528753","打开商品")</x:f>
        <x:v>HYPERLINK is not implemented. linkLocation=https://item.taobao.com/item.htm?id=1036892528753, friendlyName=打开商品</x:v>
      </x:c>
      <x:c r="J91" s="25" t="e">
        <x:f>HYPERLINK("https://data.zhiyitech.cn/itemDetail/overview/base?itemId=1036892528753","打开知衣")</x:f>
        <x:v>HYPERLINK is not implemented. linkLocation=https://data.zhiyitech.cn/itemDetail/overview/base?itemId=1036892528753, friendlyName=打开知衣</x:v>
      </x:c>
      <x:c r="K91" s="25" t="e">
        <x:f>HYPERLINK("https://img.alicdn.com/bao/uploaded/i4/103857299/O1CN01rIcyqL23n00paYtyg_!!103857299.jpg","查看主图")</x:f>
        <x:v>HYPERLINK is not implemented. linkLocation=https://img.alicdn.com/bao/uploaded/i4/103857299/O1CN01rIcyqL23n00paYtyg_!!103857299.jpg, friendlyName=查看主图</x:v>
      </x:c>
      <x:c r="L91" s="9" t="str">
        <x:v>无明确性别信息</x:v>
      </x:c>
      <x:c r="M91" s="9" t="str">
        <x:v>运动下装</x:v>
      </x:c>
      <x:c r="N91" s="9" t="str">
        <x:v>排行榜_商品榜_销售额榜_热销_运动服_休闲服装-运休闲服装-跑步短裤_2025-11-01_2026-10-31 (8).xlsx</x:v>
      </x:c>
      <x:c r="O91" s="9" t="str">
        <x:v>默认</x:v>
      </x:c>
      <x:c r="P91" s="9" t="n">
        <x:v>289</x:v>
      </x:c>
      <x:c r="Q91" s="9" t="str">
        <x:v>188467edd382ec56460cb456b88a35e4bc41edeb6d84588a2971ef0bea45a429</x:v>
      </x:c>
      <x:c r="R91" s="9" t="str">
        <x:v>MIX_SPORT_AVGPAID_1200_1300_ANNUAL2026</x:v>
      </x:c>
      <x:c r="S91" s="9" t="str">
        <x:v>排行榜_商品榜_销售额榜_热销_运动服_休闲服装-运休闲服装-跑步短裤_2025-11-01_2026-10-31 (8).xlsx / 默认 / 第289行 / SHA256 188467edd382ec56460cb456b88a35e4bc41edeb6d84588a2971ef0bea45a429</x:v>
      </x:c>
    </x:row>
    <x:row r="92" ht="58" customHeight="1">
      <x:c r="A92" s="23" t="str">
        <x:v>1034613899834</x:v>
      </x:c>
      <x:c r="B92" s="22"/>
      <x:c r="C92" s="22"/>
      <x:c r="D92" s="9" t="str">
        <x:v>安高若旅行流动廓形感宽松阔腿裤</x:v>
      </x:c>
      <x:c r="E92" s="9" t="str">
        <x:v>ANKORAU/安高若</x:v>
      </x:c>
      <x:c r="F92" s="9" t="str">
        <x:v>长裤</x:v>
      </x:c>
      <x:c r="G92" s="9" t="str">
        <x:v>训练／运动长裤</x:v>
      </x:c>
      <x:c r="H92" s="24" t="n">
        <x:v>1547.1</x:v>
      </x:c>
      <x:c r="I92" s="25" t="e">
        <x:f>HYPERLINK("https://item.taobao.com/item.htm?id=1034613899834","打开商品")</x:f>
        <x:v>HYPERLINK is not implemented. linkLocation=https://item.taobao.com/item.htm?id=1034613899834, friendlyName=打开商品</x:v>
      </x:c>
      <x:c r="J92" s="25" t="e">
        <x:f>HYPERLINK("https://data.zhiyitech.cn/itemDetail/overview/base?itemId=1034613899834","打开知衣")</x:f>
        <x:v>HYPERLINK is not implemented. linkLocation=https://data.zhiyitech.cn/itemDetail/overview/base?itemId=1034613899834, friendlyName=打开知衣</x:v>
      </x:c>
      <x:c r="K92" s="25" t="e">
        <x:f>HYPERLINK("https://img.alicdn.com/bao/uploaded/i3/3993860308/O1CN01JlAPuG1E978dgKDSy_!!4611686018427386068-0-item_pic.jpg","查看主图")</x:f>
        <x:v>HYPERLINK is not implemented. linkLocation=https://img.alicdn.com/bao/uploaded/i3/3993860308/O1CN01JlAPuG1E978dgKDSy_!!4611686018427386068-0-item_pic.jpg, friendlyName=查看主图</x:v>
      </x:c>
      <x:c r="L92" s="9" t="str">
        <x:v>无明确性别信息</x:v>
      </x:c>
      <x:c r="M92" s="9" t="str">
        <x:v>运动下装</x:v>
      </x:c>
      <x:c r="N92" s="9" t="str">
        <x:v>排行榜_商品榜_销售额榜_热销_运动服_休闲服装-运休闲服装-跑步短裤_2025-11-01_2026-10-31 (5).xlsx</x:v>
      </x:c>
      <x:c r="O92" s="9" t="str">
        <x:v>默认</x:v>
      </x:c>
      <x:c r="P92" s="9" t="n">
        <x:v>25</x:v>
      </x:c>
      <x:c r="Q92" s="9" t="str">
        <x:v>9ad7424665e3f8b592ed8cec3e99707eea5b9bd2316d324ab5977c56b4039ec9</x:v>
      </x:c>
      <x:c r="R92" s="9" t="str">
        <x:v>MIX_SPORT_AVGPAID_1500_1600_ANNUAL2026</x:v>
      </x:c>
      <x:c r="S92" s="9" t="str">
        <x:v>排行榜_商品榜_销售额榜_热销_运动服_休闲服装-运休闲服装-跑步短裤_2025-11-01_2026-10-31 (5).xlsx / 默认 / 第25行 / SHA256 9ad7424665e3f8b592ed8cec3e99707eea5b9bd2316d324ab5977c56b4039ec9</x:v>
      </x:c>
    </x:row>
    <x:row r="93" ht="58" customHeight="1">
      <x:c r="A93" s="23" t="str">
        <x:v>1020510221277</x:v>
      </x:c>
      <x:c r="B93" s="22"/>
      <x:c r="C93" s="22"/>
      <x:c r="D93" s="9" t="str">
        <x:v>ANNASUI安娜苏运动华夫格直筒长裤宽松显瘦小个子高级感凉感松弛</x:v>
      </x:c>
      <x:c r="E93" s="9" t="str">
        <x:v>ANNA SUI/安娜苏</x:v>
      </x:c>
      <x:c r="F93" s="9" t="str">
        <x:v>长裤</x:v>
      </x:c>
      <x:c r="G93" s="9" t="str">
        <x:v>训练／运动长裤</x:v>
      </x:c>
      <x:c r="H93" s="24" t="n">
        <x:v>1028.6</x:v>
      </x:c>
      <x:c r="I93" s="25" t="e">
        <x:f>HYPERLINK("https://item.taobao.com/item.htm?id=1020510221277","打开商品")</x:f>
        <x:v>HYPERLINK is not implemented. linkLocation=https://item.taobao.com/item.htm?id=1020510221277, friendlyName=打开商品</x:v>
      </x:c>
      <x:c r="J93" s="25" t="e">
        <x:f>HYPERLINK("https://data.zhiyitech.cn/itemDetail/overview/base?itemId=1020510221277","打开知衣")</x:f>
        <x:v>HYPERLINK is not implemented. linkLocation=https://data.zhiyitech.cn/itemDetail/overview/base?itemId=1020510221277, friendlyName=打开知衣</x:v>
      </x:c>
      <x:c r="K93" s="25" t="e">
        <x:f>HYPERLINK("https://img.alicdn.com/bao/uploaded/i1/2200697069868/O1CN01bsDA7c2MlbV5QRzcU_!!4611686018427380012-0-item_pic.jpg","查看主图")</x:f>
        <x:v>HYPERLINK is not implemented. linkLocation=https://img.alicdn.com/bao/uploaded/i1/2200697069868/O1CN01bsDA7c2MlbV5QRzcU_!!4611686018427380012-0-item_pic.jpg, friendlyName=查看主图</x:v>
      </x:c>
      <x:c r="L93" s="9" t="str">
        <x:v>无明确性别信息</x:v>
      </x:c>
      <x:c r="M93" s="9" t="str">
        <x:v>运动下装</x:v>
      </x:c>
      <x:c r="N93" s="9" t="str">
        <x:v>排行榜_商品榜_销售额榜_热销_运动服_休闲服装-运休闲服装-跑步短裤_2025-11-01_2026-10-31 (10).xlsx</x:v>
      </x:c>
      <x:c r="O93" s="9" t="str">
        <x:v>默认</x:v>
      </x:c>
      <x:c r="P93" s="9" t="n">
        <x:v>373</x:v>
      </x:c>
      <x:c r="Q93" s="9" t="str">
        <x:v>77c2723e3730f60e82908e61638dbb3700ba4d487e03331cf25303638bb2767e</x:v>
      </x:c>
      <x:c r="R93" s="9" t="str">
        <x:v>MIX_SPORT_AVGPAID_1000_1100_ANNUAL2026</x:v>
      </x:c>
      <x:c r="S93" s="9" t="str">
        <x:v>排行榜_商品榜_销售额榜_热销_运动服_休闲服装-运休闲服装-跑步短裤_2025-11-01_2026-10-31 (10).xlsx / 默认 / 第373行 / SHA256 77c2723e3730f60e82908e61638dbb3700ba4d487e03331cf25303638bb2767e</x:v>
      </x:c>
    </x:row>
    <x:row r="94" ht="58" customHeight="1">
      <x:c r="A94" s="23" t="str">
        <x:v>1047720001859</x:v>
      </x:c>
      <x:c r="B94" s="22"/>
      <x:c r="C94" s="22"/>
      <x:c r="D94" s="9" t="str">
        <x:v>安娜苏运动枝叶提花阔腿宽松长裤</x:v>
      </x:c>
      <x:c r="E94" s="9" t="str">
        <x:v>ANNA SUI/安娜苏</x:v>
      </x:c>
      <x:c r="F94" s="9" t="str">
        <x:v>长裤</x:v>
      </x:c>
      <x:c r="G94" s="9" t="str">
        <x:v>训练／运动长裤</x:v>
      </x:c>
      <x:c r="H94" s="24" t="n">
        <x:v>1260</x:v>
      </x:c>
      <x:c r="I94" s="25" t="e">
        <x:f>HYPERLINK("https://item.taobao.com/item.htm?id=1047720001859","打开商品")</x:f>
        <x:v>HYPERLINK is not implemented. linkLocation=https://item.taobao.com/item.htm?id=1047720001859, friendlyName=打开商品</x:v>
      </x:c>
      <x:c r="J94" s="25" t="e">
        <x:f>HYPERLINK("https://data.zhiyitech.cn/itemDetail/overview/base?itemId=1047720001859","打开知衣")</x:f>
        <x:v>HYPERLINK is not implemented. linkLocation=https://data.zhiyitech.cn/itemDetail/overview/base?itemId=1047720001859, friendlyName=打开知衣</x:v>
      </x:c>
      <x:c r="K94" s="25" t="e">
        <x:f>HYPERLINK("https://img.alicdn.com/bao/uploaded/i2/2200697069868/O1CN01LQQHJv2MlbW9aEPym_!!4611686018427380012-0-item_pic.jpg","查看主图")</x:f>
        <x:v>HYPERLINK is not implemented. linkLocation=https://img.alicdn.com/bao/uploaded/i2/2200697069868/O1CN01LQQHJv2MlbW9aEPym_!!4611686018427380012-0-item_pic.jpg, friendlyName=查看主图</x:v>
      </x:c>
      <x:c r="L94" s="9" t="str">
        <x:v>无明确性别信息</x:v>
      </x:c>
      <x:c r="M94" s="9" t="str">
        <x:v>运动下装</x:v>
      </x:c>
      <x:c r="N94" s="9" t="str">
        <x:v>排行榜_商品榜_销售额榜_热销_运动服_休闲服装-运休闲服装-跑步短裤_2025-11-01_2026-10-31 (8).xlsx</x:v>
      </x:c>
      <x:c r="O94" s="9" t="str">
        <x:v>默认</x:v>
      </x:c>
      <x:c r="P94" s="9" t="n">
        <x:v>133</x:v>
      </x:c>
      <x:c r="Q94" s="9" t="str">
        <x:v>188467edd382ec56460cb456b88a35e4bc41edeb6d84588a2971ef0bea45a429</x:v>
      </x:c>
      <x:c r="R94" s="9" t="str">
        <x:v>MIX_SPORT_AVGPAID_1200_1300_ANNUAL2026</x:v>
      </x:c>
      <x:c r="S94" s="9" t="str">
        <x:v>排行榜_商品榜_销售额榜_热销_运动服_休闲服装-运休闲服装-跑步短裤_2025-11-01_2026-10-31 (8).xlsx / 默认 / 第133行 / SHA256 188467edd382ec56460cb456b88a35e4bc41edeb6d84588a2971ef0bea45a429</x:v>
      </x:c>
    </x:row>
    <x:row r="95" ht="58" customHeight="1">
      <x:c r="A95" s="23" t="str">
        <x:v>747755079414</x:v>
      </x:c>
      <x:c r="B95" s="22"/>
      <x:c r="C95" s="22"/>
      <x:c r="D95" s="9" t="str">
        <x:v>ANNA SUI罗纹弹力收腰阔腿裤</x:v>
      </x:c>
      <x:c r="E95" s="9" t="str">
        <x:v>ANNA SUI/安娜苏</x:v>
      </x:c>
      <x:c r="F95" s="9" t="str">
        <x:v>长裤</x:v>
      </x:c>
      <x:c r="G95" s="9" t="str">
        <x:v>训练／运动长裤</x:v>
      </x:c>
      <x:c r="H95" s="24" t="n">
        <x:v>1549.7</x:v>
      </x:c>
      <x:c r="I95" s="25" t="e">
        <x:f>HYPERLINK("https://item.taobao.com/item.htm?id=747755079414","打开商品")</x:f>
        <x:v>HYPERLINK is not implemented. linkLocation=https://item.taobao.com/item.htm?id=747755079414, friendlyName=打开商品</x:v>
      </x:c>
      <x:c r="J95" s="25" t="e">
        <x:f>HYPERLINK("https://data.zhiyitech.cn/itemDetail/overview/base?itemId=747755079414","打开知衣")</x:f>
        <x:v>HYPERLINK is not implemented. linkLocation=https://data.zhiyitech.cn/itemDetail/overview/base?itemId=747755079414, friendlyName=打开知衣</x:v>
      </x:c>
      <x:c r="K95" s="25" t="e">
        <x:f>HYPERLINK("https://img.alicdn.com/bao/uploaded/i3/2200697069868/O1CN01nyout6HMqtH1chua_!!2200697069868.jpg","查看主图")</x:f>
        <x:v>HYPERLINK is not implemented. linkLocation=https://img.alicdn.com/bao/uploaded/i3/2200697069868/O1CN01nyout6HMqtH1chua_!!2200697069868.jpg, friendlyName=查看主图</x:v>
      </x:c>
      <x:c r="L95" s="9" t="str">
        <x:v>无明确性别信息</x:v>
      </x:c>
      <x:c r="M95" s="9" t="str">
        <x:v>运动下装</x:v>
      </x:c>
      <x:c r="N95" s="9" t="str">
        <x:v>排行榜_商品榜_销售额榜_热销_运动服_休闲服装-运休闲服装-跑步短裤_2025-11-01_2026-10-31 (5).xlsx</x:v>
      </x:c>
      <x:c r="O95" s="9" t="str">
        <x:v>默认</x:v>
      </x:c>
      <x:c r="P95" s="9" t="n">
        <x:v>64</x:v>
      </x:c>
      <x:c r="Q95" s="9" t="str">
        <x:v>9ad7424665e3f8b592ed8cec3e99707eea5b9bd2316d324ab5977c56b4039ec9</x:v>
      </x:c>
      <x:c r="R95" s="9" t="str">
        <x:v>MIX_SPORT_AVGPAID_1500_1600_ANNUAL2026</x:v>
      </x:c>
      <x:c r="S95" s="9" t="str">
        <x:v>排行榜_商品榜_销售额榜_热销_运动服_休闲服装-运休闲服装-跑步短裤_2025-11-01_2026-10-31 (5).xlsx / 默认 / 第64行 / SHA256 9ad7424665e3f8b592ed8cec3e99707eea5b9bd2316d324ab5977c56b4039ec9</x:v>
      </x:c>
    </x:row>
    <x:row r="96" ht="58" customHeight="1">
      <x:c r="A96" s="23" t="str">
        <x:v>760715138939</x:v>
      </x:c>
      <x:c r="B96" s="22"/>
      <x:c r="C96" s="22"/>
      <x:c r="D96" s="9" t="str">
        <x:v>ANNA SUI微喇针织长裤</x:v>
      </x:c>
      <x:c r="E96" s="9" t="str">
        <x:v>ANNA SUI/安娜苏</x:v>
      </x:c>
      <x:c r="F96" s="9" t="str">
        <x:v>长裤</x:v>
      </x:c>
      <x:c r="G96" s="9" t="str">
        <x:v>训练／运动长裤</x:v>
      </x:c>
      <x:c r="H96" s="24" t="n">
        <x:v>1910.52</x:v>
      </x:c>
      <x:c r="I96" s="25" t="e">
        <x:f>HYPERLINK("https://item.taobao.com/item.htm?id=760715138939","打开商品")</x:f>
        <x:v>HYPERLINK is not implemented. linkLocation=https://item.taobao.com/item.htm?id=760715138939, friendlyName=打开商品</x:v>
      </x:c>
      <x:c r="J96" s="25" t="e">
        <x:f>HYPERLINK("https://data.zhiyitech.cn/itemDetail/overview/base?itemId=760715138939","打开知衣")</x:f>
        <x:v>HYPERLINK is not implemented. linkLocation=https://data.zhiyitech.cn/itemDetail/overview/base?itemId=760715138939, friendlyName=打开知衣</x:v>
      </x:c>
      <x:c r="K96" s="25" t="e">
        <x:f>HYPERLINK("https://img.alicdn.com/bao/uploaded/i1/2200697069868/O1CN01tXAy2N2MlbIG92pjx_!!0-item_pic.jpg","查看主图")</x:f>
        <x:v>HYPERLINK is not implemented. linkLocation=https://img.alicdn.com/bao/uploaded/i1/2200697069868/O1CN01tXAy2N2MlbIG92pjx_!!0-item_pic.jpg, friendlyName=查看主图</x:v>
      </x:c>
      <x:c r="L96" s="9" t="str">
        <x:v>无明确性别信息</x:v>
      </x:c>
      <x:c r="M96" s="9" t="str">
        <x:v>运动下装</x:v>
      </x:c>
      <x:c r="N96" s="9" t="str">
        <x:v>排行榜_商品榜_销售额榜_热销_运动服_休闲服装-运休闲服装-跑步短裤_2025-11-01_2026-10-31 (1).xlsx</x:v>
      </x:c>
      <x:c r="O96" s="9" t="str">
        <x:v>默认</x:v>
      </x:c>
      <x:c r="P96" s="9" t="n">
        <x:v>25</x:v>
      </x:c>
      <x:c r="Q96" s="9" t="str">
        <x:v>9d582a2a182ec48ec8a355657c0bf2d8e8f39ae4b7c96aaa441f0d48c6b3d994</x:v>
      </x:c>
      <x:c r="R96" s="9" t="str">
        <x:v>MIX_SPORT_AVGPAID_1900_2000_ANNUAL2026</x:v>
      </x:c>
      <x:c r="S96" s="9" t="str">
        <x:v>排行榜_商品榜_销售额榜_热销_运动服_休闲服装-运休闲服装-跑步短裤_2025-11-01_2026-10-31 (1).xlsx / 默认 / 第25行 / SHA256 9d582a2a182ec48ec8a355657c0bf2d8e8f39ae4b7c96aaa441f0d48c6b3d994</x:v>
      </x:c>
    </x:row>
    <x:row r="97" ht="58" customHeight="1">
      <x:c r="A97" s="23" t="str">
        <x:v>763208402023</x:v>
      </x:c>
      <x:c r="B97" s="22"/>
      <x:c r="C97" s="22"/>
      <x:c r="D97" s="9" t="str">
        <x:v>Anna sui宽松直筒户外防护长裤</x:v>
      </x:c>
      <x:c r="E97" s="9" t="str">
        <x:v>ANNA SUI/安娜苏</x:v>
      </x:c>
      <x:c r="F97" s="9" t="str">
        <x:v>长裤</x:v>
      </x:c>
      <x:c r="G97" s="9" t="str">
        <x:v>训练／运动长裤</x:v>
      </x:c>
      <x:c r="H97" s="24" t="n">
        <x:v>1150.18</x:v>
      </x:c>
      <x:c r="I97" s="25" t="e">
        <x:f>HYPERLINK("https://item.taobao.com/item.htm?id=763208402023","打开商品")</x:f>
        <x:v>HYPERLINK is not implemented. linkLocation=https://item.taobao.com/item.htm?id=763208402023, friendlyName=打开商品</x:v>
      </x:c>
      <x:c r="J97" s="25" t="e">
        <x:f>HYPERLINK("https://data.zhiyitech.cn/itemDetail/overview/base?itemId=763208402023","打开知衣")</x:f>
        <x:v>HYPERLINK is not implemented. linkLocation=https://data.zhiyitech.cn/itemDetail/overview/base?itemId=763208402023, friendlyName=打开知衣</x:v>
      </x:c>
      <x:c r="K97" s="25" t="e">
        <x:f>HYPERLINK("https://img.alicdn.com/bao/uploaded/i4/2200697069868/O1CN01D1eRpk2MlbN3rsfEl_!!0-item_pic.jpg","查看主图")</x:f>
        <x:v>HYPERLINK is not implemented. linkLocation=https://img.alicdn.com/bao/uploaded/i4/2200697069868/O1CN01D1eRpk2MlbN3rsfEl_!!0-item_pic.jpg, friendlyName=查看主图</x:v>
      </x:c>
      <x:c r="L97" s="9" t="str">
        <x:v>无明确性别信息</x:v>
      </x:c>
      <x:c r="M97" s="9" t="str">
        <x:v>运动下装</x:v>
      </x:c>
      <x:c r="N97" s="9" t="str">
        <x:v>排行榜_商品榜_销售额榜_热销_运动服_休闲服装-运休闲服装-跑步短裤_2025-11-01_2026-10-31 (9).xlsx</x:v>
      </x:c>
      <x:c r="O97" s="9" t="str">
        <x:v>默认</x:v>
      </x:c>
      <x:c r="P97" s="9" t="n">
        <x:v>357</x:v>
      </x:c>
      <x:c r="Q97" s="9" t="str">
        <x:v>bf4c13b761e645dc5b709fecfe2eba562c597469bada8d60d13514dd26d590ba</x:v>
      </x:c>
      <x:c r="R97" s="9" t="str">
        <x:v>MIX_SPORT_AVGPAID_1100_1200_ANNUAL2026</x:v>
      </x:c>
      <x:c r="S97" s="9" t="str">
        <x:v>排行榜_商品榜_销售额榜_热销_运动服_休闲服装-运休闲服装-跑步短裤_2025-11-01_2026-10-31 (9).xlsx / 默认 / 第357行 / SHA256 bf4c13b761e645dc5b709fecfe2eba562c597469bada8d60d13514dd26d590ba</x:v>
      </x:c>
    </x:row>
    <x:row r="98" ht="58" customHeight="1">
      <x:c r="A98" s="23" t="str">
        <x:v>772431032302</x:v>
      </x:c>
      <x:c r="B98" s="22"/>
      <x:c r="C98" s="22"/>
      <x:c r="D98" s="9" t="str">
        <x:v>ANNA SUI弹力梭织直筒西装裤</x:v>
      </x:c>
      <x:c r="E98" s="9" t="str">
        <x:v>ANNA SUI/安娜苏</x:v>
      </x:c>
      <x:c r="F98" s="9" t="str">
        <x:v>长裤</x:v>
      </x:c>
      <x:c r="G98" s="9" t="str">
        <x:v>训练／运动长裤</x:v>
      </x:c>
      <x:c r="H98" s="24" t="n">
        <x:v>1406</x:v>
      </x:c>
      <x:c r="I98" s="25" t="e">
        <x:f>HYPERLINK("https://item.taobao.com/item.htm?id=772431032302","打开商品")</x:f>
        <x:v>HYPERLINK is not implemented. linkLocation=https://item.taobao.com/item.htm?id=772431032302, friendlyName=打开商品</x:v>
      </x:c>
      <x:c r="J98" s="25" t="e">
        <x:f>HYPERLINK("https://data.zhiyitech.cn/itemDetail/overview/base?itemId=772431032302","打开知衣")</x:f>
        <x:v>HYPERLINK is not implemented. linkLocation=https://data.zhiyitech.cn/itemDetail/overview/base?itemId=772431032302, friendlyName=打开知衣</x:v>
      </x:c>
      <x:c r="K98" s="25" t="e">
        <x:f>HYPERLINK("https://img.alicdn.com/i4/2200697069868/O1CN01tW3W9q2MlbJKKrBvT_!!0-item_pic.jpg","查看主图")</x:f>
        <x:v>HYPERLINK is not implemented. linkLocation=https://img.alicdn.com/i4/2200697069868/O1CN01tW3W9q2MlbJKKrBvT_!!0-item_pic.jpg, friendlyName=查看主图</x:v>
      </x:c>
      <x:c r="L98" s="9" t="str">
        <x:v>无明确性别信息</x:v>
      </x:c>
      <x:c r="M98" s="9" t="str">
        <x:v>运动下装</x:v>
      </x:c>
      <x:c r="N98" s="9" t="str">
        <x:v>排行榜_商品榜_销售额榜_热销_运动服_休闲服装-运休闲服装-跑步短裤_2025-11-01_2026-10-31 (6).xlsx</x:v>
      </x:c>
      <x:c r="O98" s="9" t="str">
        <x:v>默认</x:v>
      </x:c>
      <x:c r="P98" s="9" t="n">
        <x:v>121</x:v>
      </x:c>
      <x:c r="Q98" s="9" t="str">
        <x:v>51c5baf852346f6326f6a242f8205ac9db74e4145a36be5e01e3352750e8cecc</x:v>
      </x:c>
      <x:c r="R98" s="9" t="str">
        <x:v>MIX_SPORT_AVGPAID_1400_1500_ANNUAL2026</x:v>
      </x:c>
      <x:c r="S98" s="9" t="str">
        <x:v>排行榜_商品榜_销售额榜_热销_运动服_休闲服装-运休闲服装-跑步短裤_2025-11-01_2026-10-31 (6).xlsx / 默认 / 第121行 / SHA256 51c5baf852346f6326f6a242f8205ac9db74e4145a36be5e01e3352750e8cecc</x:v>
      </x:c>
    </x:row>
    <x:row r="99" ht="58" customHeight="1">
      <x:c r="A99" s="23" t="str">
        <x:v>806919261695</x:v>
      </x:c>
      <x:c r="B99" s="22"/>
      <x:c r="C99" s="22"/>
      <x:c r="D99" s="9" t="str">
        <x:v>ANNA SUI宽松微敞阔腿裤</x:v>
      </x:c>
      <x:c r="E99" s="9" t="str">
        <x:v>ANNA SUI/安娜苏</x:v>
      </x:c>
      <x:c r="F99" s="9" t="str">
        <x:v>长裤</x:v>
      </x:c>
      <x:c r="G99" s="9" t="str">
        <x:v>训练／运动长裤</x:v>
      </x:c>
      <x:c r="H99" s="24" t="n">
        <x:v>1147.6</x:v>
      </x:c>
      <x:c r="I99" s="25" t="e">
        <x:f>HYPERLINK("https://item.taobao.com/item.htm?id=806919261695","打开商品")</x:f>
        <x:v>HYPERLINK is not implemented. linkLocation=https://item.taobao.com/item.htm?id=806919261695, friendlyName=打开商品</x:v>
      </x:c>
      <x:c r="J99" s="25" t="e">
        <x:f>HYPERLINK("https://data.zhiyitech.cn/itemDetail/overview/base?itemId=806919261695","打开知衣")</x:f>
        <x:v>HYPERLINK is not implemented. linkLocation=https://data.zhiyitech.cn/itemDetail/overview/base?itemId=806919261695, friendlyName=打开知衣</x:v>
      </x:c>
      <x:c r="K99" s="25" t="e">
        <x:f>HYPERLINK("https://img.alicdn.com/bao/uploaded/i1/2200697069868/O1CN013RtBIg2MlbLIVdL0x_!!0-item_pic.jpg","查看主图")</x:f>
        <x:v>HYPERLINK is not implemented. linkLocation=https://img.alicdn.com/bao/uploaded/i1/2200697069868/O1CN013RtBIg2MlbLIVdL0x_!!0-item_pic.jpg, friendlyName=查看主图</x:v>
      </x:c>
      <x:c r="L99" s="9" t="str">
        <x:v>无明确性别信息</x:v>
      </x:c>
      <x:c r="M99" s="9" t="str">
        <x:v>运动下装</x:v>
      </x:c>
      <x:c r="N99" s="9" t="str">
        <x:v>排行榜_商品榜_销售额榜_热销_运动服_休闲服装-运休闲服装-跑步短裤_2025-11-01_2026-10-31 (9).xlsx</x:v>
      </x:c>
      <x:c r="O99" s="9" t="str">
        <x:v>默认</x:v>
      </x:c>
      <x:c r="P99" s="9" t="n">
        <x:v>229</x:v>
      </x:c>
      <x:c r="Q99" s="9" t="str">
        <x:v>bf4c13b761e645dc5b709fecfe2eba562c597469bada8d60d13514dd26d590ba</x:v>
      </x:c>
      <x:c r="R99" s="9" t="str">
        <x:v>MIX_SPORT_AVGPAID_1100_1200_ANNUAL2026</x:v>
      </x:c>
      <x:c r="S99" s="9" t="str">
        <x:v>排行榜_商品榜_销售额榜_热销_运动服_休闲服装-运休闲服装-跑步短裤_2025-11-01_2026-10-31 (9).xlsx / 默认 / 第229行 / SHA256 bf4c13b761e645dc5b709fecfe2eba562c597469bada8d60d13514dd26d590ba</x:v>
      </x:c>
    </x:row>
    <x:row r="100" ht="58" customHeight="1">
      <x:c r="A100" s="23" t="str">
        <x:v>820528873678</x:v>
      </x:c>
      <x:c r="B100" s="22"/>
      <x:c r="C100" s="22"/>
      <x:c r="D100" s="9" t="str">
        <x:v>ANNA SUI弹力吸湿速干运动长裤</x:v>
      </x:c>
      <x:c r="E100" s="9" t="str">
        <x:v>ANNA SUI/安娜苏</x:v>
      </x:c>
      <x:c r="F100" s="9" t="str">
        <x:v>长裤</x:v>
      </x:c>
      <x:c r="G100" s="9" t="str">
        <x:v>训练／运动长裤</x:v>
      </x:c>
      <x:c r="H100" s="24" t="n">
        <x:v>1219.33</x:v>
      </x:c>
      <x:c r="I100" s="25" t="e">
        <x:f>HYPERLINK("https://item.taobao.com/item.htm?id=820528873678","打开商品")</x:f>
        <x:v>HYPERLINK is not implemented. linkLocation=https://item.taobao.com/item.htm?id=820528873678, friendlyName=打开商品</x:v>
      </x:c>
      <x:c r="J100" s="25" t="e">
        <x:f>HYPERLINK("https://data.zhiyitech.cn/itemDetail/overview/base?itemId=820528873678","打开知衣")</x:f>
        <x:v>HYPERLINK is not implemented. linkLocation=https://data.zhiyitech.cn/itemDetail/overview/base?itemId=820528873678, friendlyName=打开知衣</x:v>
      </x:c>
      <x:c r="K100" s="25" t="e">
        <x:f>HYPERLINK("https://img.alicdn.com/bao/uploaded/i4/2200697069868/O1CN01tCd6pK2MlbMxAQ0MX_!!0-item_pic.jpg","查看主图")</x:f>
        <x:v>HYPERLINK is not implemented. linkLocation=https://img.alicdn.com/bao/uploaded/i4/2200697069868/O1CN01tCd6pK2MlbMxAQ0MX_!!0-item_pic.jpg, friendlyName=查看主图</x:v>
      </x:c>
      <x:c r="L100" s="9" t="str">
        <x:v>无明确性别信息</x:v>
      </x:c>
      <x:c r="M100" s="9" t="str">
        <x:v>运动下装</x:v>
      </x:c>
      <x:c r="N100" s="9" t="str">
        <x:v>排行榜_商品榜_销售额榜_热销_运动服_休闲服装-运休闲服装-跑步短裤_2025-11-01_2026-10-31 (8).xlsx</x:v>
      </x:c>
      <x:c r="O100" s="9" t="str">
        <x:v>默认</x:v>
      </x:c>
      <x:c r="P100" s="9" t="n">
        <x:v>245</x:v>
      </x:c>
      <x:c r="Q100" s="9" t="str">
        <x:v>188467edd382ec56460cb456b88a35e4bc41edeb6d84588a2971ef0bea45a429</x:v>
      </x:c>
      <x:c r="R100" s="9" t="str">
        <x:v>MIX_SPORT_AVGPAID_1200_1300_ANNUAL2026</x:v>
      </x:c>
      <x:c r="S100" s="9" t="str">
        <x:v>排行榜_商品榜_销售额榜_热销_运动服_休闲服装-运休闲服装-跑步短裤_2025-11-01_2026-10-31 (8).xlsx / 默认 / 第245行 / SHA256 188467edd382ec56460cb456b88a35e4bc41edeb6d84588a2971ef0bea45a429</x:v>
      </x:c>
    </x:row>
    <x:row r="101" ht="58" customHeight="1">
      <x:c r="A101" s="23" t="str">
        <x:v>832297604824</x:v>
      </x:c>
      <x:c r="B101" s="22"/>
      <x:c r="C101" s="22"/>
      <x:c r="D101" s="9" t="str">
        <x:v>ANNA SUI安娜苏运动 Master大师系列 抗UV50+高尔夫弹力运动长裤</x:v>
      </x:c>
      <x:c r="E101" s="9" t="str">
        <x:v>ANNA SUI/安娜苏</x:v>
      </x:c>
      <x:c r="F101" s="9" t="str">
        <x:v>长裤</x:v>
      </x:c>
      <x:c r="G101" s="9" t="str">
        <x:v>训练／运动长裤</x:v>
      </x:c>
      <x:c r="H101" s="24" t="n">
        <x:v>1862.5</x:v>
      </x:c>
      <x:c r="I101" s="25" t="e">
        <x:f>HYPERLINK("https://item.taobao.com/item.htm?id=832297604824","打开商品")</x:f>
        <x:v>HYPERLINK is not implemented. linkLocation=https://item.taobao.com/item.htm?id=832297604824, friendlyName=打开商品</x:v>
      </x:c>
      <x:c r="J101" s="25" t="e">
        <x:f>HYPERLINK("https://data.zhiyitech.cn/itemDetail/overview/base?itemId=832297604824","打开知衣")</x:f>
        <x:v>HYPERLINK is not implemented. linkLocation=https://data.zhiyitech.cn/itemDetail/overview/base?itemId=832297604824, friendlyName=打开知衣</x:v>
      </x:c>
      <x:c r="K101" s="25" t="e">
        <x:f>HYPERLINK("https://img.alicdn.com/bao/uploaded/i2/2200697069868/O1CN011FmQLR2MlbNt5VZUw_!!4611686018427380012-0-item_pic.jpg","查看主图")</x:f>
        <x:v>HYPERLINK is not implemented. linkLocation=https://img.alicdn.com/bao/uploaded/i2/2200697069868/O1CN011FmQLR2MlbNt5VZUw_!!4611686018427380012-0-item_pic.jpg, friendlyName=查看主图</x:v>
      </x:c>
      <x:c r="L101" s="9" t="str">
        <x:v>无明确性别信息</x:v>
      </x:c>
      <x:c r="M101" s="9" t="str">
        <x:v>运动下装</x:v>
      </x:c>
      <x:c r="N101" s="9" t="str">
        <x:v>排行榜_商品榜_销售额榜_热销_运动服_休闲服装-运休闲服装-跑步短裤_2025-11-01_2026-10-31 (2).xlsx</x:v>
      </x:c>
      <x:c r="O101" s="9" t="str">
        <x:v>默认</x:v>
      </x:c>
      <x:c r="P101" s="9" t="n">
        <x:v>23</x:v>
      </x:c>
      <x:c r="Q101" s="9" t="str">
        <x:v>d4303838acbe96e5d87b9779c87272c941a19ebdcbae2ed4b34c418160904013</x:v>
      </x:c>
      <x:c r="R101" s="9" t="str">
        <x:v>MIX_SPORT_AVGPAID_1800_1900_ANNUAL2026</x:v>
      </x:c>
      <x:c r="S101" s="9" t="str">
        <x:v>排行榜_商品榜_销售额榜_热销_运动服_休闲服装-运休闲服装-跑步短裤_2025-11-01_2026-10-31 (2).xlsx / 默认 / 第23行 / SHA256 d4303838acbe96e5d87b9779c87272c941a19ebdcbae2ed4b34c418160904013</x:v>
      </x:c>
    </x:row>
    <x:row r="102" ht="58" customHeight="1">
      <x:c r="A102" s="23" t="str">
        <x:v>834803078414</x:v>
      </x:c>
      <x:c r="B102" s="22"/>
      <x:c r="C102" s="22"/>
      <x:c r="D102" s="9" t="str">
        <x:v>ANNA SUI安娜苏运动 100%美丽诺羊毛垂感阔腿针织裤慵懒舒适显瘦</x:v>
      </x:c>
      <x:c r="E102" s="9" t="str">
        <x:v>ANNA SUI/安娜苏</x:v>
      </x:c>
      <x:c r="F102" s="9" t="str">
        <x:v>长裤</x:v>
      </x:c>
      <x:c r="G102" s="9" t="str">
        <x:v>训练／运动长裤</x:v>
      </x:c>
      <x:c r="H102" s="24" t="n">
        <x:v>1895</x:v>
      </x:c>
      <x:c r="I102" s="25" t="e">
        <x:f>HYPERLINK("https://item.taobao.com/item.htm?id=834803078414","打开商品")</x:f>
        <x:v>HYPERLINK is not implemented. linkLocation=https://item.taobao.com/item.htm?id=834803078414, friendlyName=打开商品</x:v>
      </x:c>
      <x:c r="J102" s="25" t="e">
        <x:f>HYPERLINK("https://data.zhiyitech.cn/itemDetail/overview/base?itemId=834803078414","打开知衣")</x:f>
        <x:v>HYPERLINK is not implemented. linkLocation=https://data.zhiyitech.cn/itemDetail/overview/base?itemId=834803078414, friendlyName=打开知衣</x:v>
      </x:c>
      <x:c r="K102" s="25" t="e">
        <x:f>HYPERLINK("https://img.alicdn.com/bao/uploaded/i3/2200697069868/O1CN01psC6UE2MlbMqXI8GQ_!!0-item_pic.jpg","查看主图")</x:f>
        <x:v>HYPERLINK is not implemented. linkLocation=https://img.alicdn.com/bao/uploaded/i3/2200697069868/O1CN01psC6UE2MlbMqXI8GQ_!!0-item_pic.jpg, friendlyName=查看主图</x:v>
      </x:c>
      <x:c r="L102" s="9" t="str">
        <x:v>无明确性别信息</x:v>
      </x:c>
      <x:c r="M102" s="9" t="str">
        <x:v>运动下装</x:v>
      </x:c>
      <x:c r="N102" s="9" t="str">
        <x:v>排行榜_商品榜_销售额榜_热销_运动服_休闲服装-运休闲服装-跑步短裤_2025-11-01_2026-10-31 (2).xlsx</x:v>
      </x:c>
      <x:c r="O102" s="9" t="str">
        <x:v>默认</x:v>
      </x:c>
      <x:c r="P102" s="9" t="n">
        <x:v>14</x:v>
      </x:c>
      <x:c r="Q102" s="9" t="str">
        <x:v>d4303838acbe96e5d87b9779c87272c941a19ebdcbae2ed4b34c418160904013</x:v>
      </x:c>
      <x:c r="R102" s="9" t="str">
        <x:v>MIX_SPORT_AVGPAID_1800_1900_ANNUAL2026</x:v>
      </x:c>
      <x:c r="S102" s="9" t="str">
        <x:v>排行榜_商品榜_销售额榜_热销_运动服_休闲服装-运休闲服装-跑步短裤_2025-11-01_2026-10-31 (2).xlsx / 默认 / 第14行 / SHA256 d4303838acbe96e5d87b9779c87272c941a19ebdcbae2ed4b34c418160904013</x:v>
      </x:c>
    </x:row>
    <x:row r="103" ht="58" customHeight="1">
      <x:c r="A103" s="23" t="str">
        <x:v>857462758942</x:v>
      </x:c>
      <x:c r="B103" s="22"/>
      <x:c r="C103" s="22"/>
      <x:c r="D103" s="9" t="str">
        <x:v>ANNA SUI安娜苏运动 复古坑条仿毛条针织阔腿裤串标松紧腰头显瘦</x:v>
      </x:c>
      <x:c r="E103" s="9" t="str">
        <x:v>ANNA SUI/安娜苏</x:v>
      </x:c>
      <x:c r="F103" s="9" t="str">
        <x:v>长裤</x:v>
      </x:c>
      <x:c r="G103" s="9" t="str">
        <x:v>训练／运动长裤</x:v>
      </x:c>
      <x:c r="H103" s="24" t="n">
        <x:v>1200</x:v>
      </x:c>
      <x:c r="I103" s="25" t="e">
        <x:f>HYPERLINK("https://item.taobao.com/item.htm?id=857462758942","打开商品")</x:f>
        <x:v>HYPERLINK is not implemented. linkLocation=https://item.taobao.com/item.htm?id=857462758942, friendlyName=打开商品</x:v>
      </x:c>
      <x:c r="J103" s="25" t="e">
        <x:f>HYPERLINK("https://data.zhiyitech.cn/itemDetail/overview/base?itemId=857462758942","打开知衣")</x:f>
        <x:v>HYPERLINK is not implemented. linkLocation=https://data.zhiyitech.cn/itemDetail/overview/base?itemId=857462758942, friendlyName=打开知衣</x:v>
      </x:c>
      <x:c r="K103" s="25" t="e">
        <x:f>HYPERLINK("https://img.alicdn.com/i1/2200697069868/O1CN01O7oplA2MlbOJXYc4L_!!4611686018427380012-0-item_pic.jpg","查看主图")</x:f>
        <x:v>HYPERLINK is not implemented. linkLocation=https://img.alicdn.com/i1/2200697069868/O1CN01O7oplA2MlbOJXYc4L_!!4611686018427380012-0-item_pic.jpg, friendlyName=查看主图</x:v>
      </x:c>
      <x:c r="L103" s="9" t="str">
        <x:v>无明确性别信息</x:v>
      </x:c>
      <x:c r="M103" s="9" t="str">
        <x:v>运动下装</x:v>
      </x:c>
      <x:c r="N103" s="9" t="str">
        <x:v>排行榜_商品榜_销售额榜_热销_运动服_休闲服装-运休闲服装-跑步短裤_2025-11-01_2026-10-31 (8).xlsx</x:v>
      </x:c>
      <x:c r="O103" s="9" t="str">
        <x:v>默认</x:v>
      </x:c>
      <x:c r="P103" s="9" t="n">
        <x:v>327</x:v>
      </x:c>
      <x:c r="Q103" s="9" t="str">
        <x:v>188467edd382ec56460cb456b88a35e4bc41edeb6d84588a2971ef0bea45a429</x:v>
      </x:c>
      <x:c r="R103" s="9" t="str">
        <x:v>MIX_SPORT_AVGPAID_1100_1200_ANNUAL2026；MIX_SPORT_AVGPAID_1200_1300_ANNUAL2026</x:v>
      </x:c>
      <x:c r="S103" s="9" t="str">
        <x:v>排行榜_商品榜_销售额榜_热销_运动服_休闲服装-运休闲服装-跑步短裤_2025-11-01_2026-10-31 (8).xlsx / 默认 / 第327行 / SHA256 188467edd382ec56460cb456b88a35e4bc41edeb6d84588a2971ef0bea45a429
排行榜_商品榜_销售额榜_热销_运动服_休闲服装-运休闲服装-跑步短裤_2025-11-01_2026-10-31 (9).xlsx / 默认 / 第413行 / SHA256 bf4c13b761e645dc5b709fecfe2eba562c597469bada8d60d13514dd26d590ba</x:v>
      </x:c>
    </x:row>
    <x:row r="104" ht="58" customHeight="1">
      <x:c r="A104" s="23" t="str">
        <x:v>870974084712</x:v>
      </x:c>
      <x:c r="B104" s="22"/>
      <x:c r="C104" s="22"/>
      <x:c r="D104" s="9" t="str">
        <x:v>安娜苏运动微喇长裤舒适亲肤</x:v>
      </x:c>
      <x:c r="E104" s="9" t="str">
        <x:v>ANNA SUI/安娜苏</x:v>
      </x:c>
      <x:c r="F104" s="9" t="str">
        <x:v>长裤</x:v>
      </x:c>
      <x:c r="G104" s="9" t="str">
        <x:v>训练／运动长裤</x:v>
      </x:c>
      <x:c r="H104" s="24" t="n">
        <x:v>1604</x:v>
      </x:c>
      <x:c r="I104" s="25" t="e">
        <x:f>HYPERLINK("https://item.taobao.com/item.htm?id=870974084712","打开商品")</x:f>
        <x:v>HYPERLINK is not implemented. linkLocation=https://item.taobao.com/item.htm?id=870974084712, friendlyName=打开商品</x:v>
      </x:c>
      <x:c r="J104" s="25" t="e">
        <x:f>HYPERLINK("https://data.zhiyitech.cn/itemDetail/overview/base?itemId=870974084712","打开知衣")</x:f>
        <x:v>HYPERLINK is not implemented. linkLocation=https://data.zhiyitech.cn/itemDetail/overview/base?itemId=870974084712, friendlyName=打开知衣</x:v>
      </x:c>
      <x:c r="K104" s="25" t="e">
        <x:f>HYPERLINK("https://img.alicdn.com/bao/uploaded/i2/2200697069868/O1CN01ENv0yk2MlbP15mOkO_!!4611686018427380012-0-item_pic.jpg","查看主图")</x:f>
        <x:v>HYPERLINK is not implemented. linkLocation=https://img.alicdn.com/bao/uploaded/i2/2200697069868/O1CN01ENv0yk2MlbP15mOkO_!!4611686018427380012-0-item_pic.jpg, friendlyName=查看主图</x:v>
      </x:c>
      <x:c r="L104" s="9" t="str">
        <x:v>无明确性别信息</x:v>
      </x:c>
      <x:c r="M104" s="9" t="str">
        <x:v>运动下装</x:v>
      </x:c>
      <x:c r="N104" s="9" t="str">
        <x:v>排行榜_商品榜_销售额榜_热销_运动服_休闲服装-运休闲服装-跑步短裤_2025-11-01_2026-10-31 (4).xlsx</x:v>
      </x:c>
      <x:c r="O104" s="9" t="str">
        <x:v>默认</x:v>
      </x:c>
      <x:c r="P104" s="9" t="n">
        <x:v>18</x:v>
      </x:c>
      <x:c r="Q104" s="9" t="str">
        <x:v>f87107da07f2a69cacdf5d1934c6ee6199ee509824961182157054c4707072d8</x:v>
      </x:c>
      <x:c r="R104" s="9" t="str">
        <x:v>MIX_SPORT_AVGPAID_1600_1700_ANNUAL2026</x:v>
      </x:c>
      <x:c r="S104" s="9" t="str">
        <x:v>排行榜_商品榜_销售额榜_热销_运动服_休闲服装-运休闲服装-跑步短裤_2025-11-01_2026-10-31 (4).xlsx / 默认 / 第18行 / SHA256 f87107da07f2a69cacdf5d1934c6ee6199ee509824961182157054c4707072d8</x:v>
      </x:c>
    </x:row>
    <x:row r="105" ht="58" customHeight="1">
      <x:c r="A105" s="23" t="str">
        <x:v>876301450779</x:v>
      </x:c>
      <x:c r="B105" s="22"/>
      <x:c r="C105" s="22"/>
      <x:c r="D105" s="9" t="str">
        <x:v>ANNA SUI安娜苏运动 天鹅绒长裤</x:v>
      </x:c>
      <x:c r="E105" s="9" t="str">
        <x:v>ANNA SUI/安娜苏</x:v>
      </x:c>
      <x:c r="F105" s="9" t="str">
        <x:v>长裤</x:v>
      </x:c>
      <x:c r="G105" s="9" t="str">
        <x:v>训练／运动长裤</x:v>
      </x:c>
      <x:c r="H105" s="24" t="n">
        <x:v>1850</x:v>
      </x:c>
      <x:c r="I105" s="25" t="e">
        <x:f>HYPERLINK("https://item.taobao.com/item.htm?id=876301450779","打开商品")</x:f>
        <x:v>HYPERLINK is not implemented. linkLocation=https://item.taobao.com/item.htm?id=876301450779, friendlyName=打开商品</x:v>
      </x:c>
      <x:c r="J105" s="25" t="e">
        <x:f>HYPERLINK("https://data.zhiyitech.cn/itemDetail/overview/base?itemId=876301450779","打开知衣")</x:f>
        <x:v>HYPERLINK is not implemented. linkLocation=https://data.zhiyitech.cn/itemDetail/overview/base?itemId=876301450779, friendlyName=打开知衣</x:v>
      </x:c>
      <x:c r="K105" s="25" t="e">
        <x:f>HYPERLINK("https://img.alicdn.com/i4/2200697069868/O1CN019kUcBh2MlbPGa1zia_!!4611686018427380012-0-item_pic.jpg","查看主图")</x:f>
        <x:v>HYPERLINK is not implemented. linkLocation=https://img.alicdn.com/i4/2200697069868/O1CN019kUcBh2MlbPGa1zia_!!4611686018427380012-0-item_pic.jpg, friendlyName=查看主图</x:v>
      </x:c>
      <x:c r="L105" s="9" t="str">
        <x:v>无明确性别信息</x:v>
      </x:c>
      <x:c r="M105" s="9" t="str">
        <x:v>运动下装</x:v>
      </x:c>
      <x:c r="N105" s="9" t="str">
        <x:v>排行榜_商品榜_销售额榜_热销_运动服_休闲服装-运休闲服装-跑步短裤_2025-11-01_2026-10-31 (2).xlsx</x:v>
      </x:c>
      <x:c r="O105" s="9" t="str">
        <x:v>默认</x:v>
      </x:c>
      <x:c r="P105" s="9" t="n">
        <x:v>43</x:v>
      </x:c>
      <x:c r="Q105" s="9" t="str">
        <x:v>d4303838acbe96e5d87b9779c87272c941a19ebdcbae2ed4b34c418160904013</x:v>
      </x:c>
      <x:c r="R105" s="9" t="str">
        <x:v>MIX_SPORT_AVGPAID_1800_1900_ANNUAL2026</x:v>
      </x:c>
      <x:c r="S105" s="9" t="str">
        <x:v>排行榜_商品榜_销售额榜_热销_运动服_休闲服装-运休闲服装-跑步短裤_2025-11-01_2026-10-31 (2).xlsx / 默认 / 第43行 / SHA256 d4303838acbe96e5d87b9779c87272c941a19ebdcbae2ed4b34c418160904013</x:v>
      </x:c>
    </x:row>
    <x:row r="106" ht="58" customHeight="1">
      <x:c r="A106" s="23" t="str">
        <x:v>877068225051</x:v>
      </x:c>
      <x:c r="B106" s="22"/>
      <x:c r="C106" s="22"/>
      <x:c r="D106" s="9" t="str">
        <x:v>ANNA SUI安娜苏运动 防水工装裤</x:v>
      </x:c>
      <x:c r="E106" s="9" t="str">
        <x:v>ANNA SUI/安娜苏</x:v>
      </x:c>
      <x:c r="F106" s="9" t="str">
        <x:v>长裤</x:v>
      </x:c>
      <x:c r="G106" s="9" t="str">
        <x:v>训练／运动长裤</x:v>
      </x:c>
      <x:c r="H106" s="24" t="n">
        <x:v>1359.2</x:v>
      </x:c>
      <x:c r="I106" s="25" t="e">
        <x:f>HYPERLINK("https://item.taobao.com/item.htm?id=877068225051","打开商品")</x:f>
        <x:v>HYPERLINK is not implemented. linkLocation=https://item.taobao.com/item.htm?id=877068225051, friendlyName=打开商品</x:v>
      </x:c>
      <x:c r="J106" s="25" t="e">
        <x:f>HYPERLINK("https://data.zhiyitech.cn/itemDetail/overview/base?itemId=877068225051","打开知衣")</x:f>
        <x:v>HYPERLINK is not implemented. linkLocation=https://data.zhiyitech.cn/itemDetail/overview/base?itemId=877068225051, friendlyName=打开知衣</x:v>
      </x:c>
      <x:c r="K106" s="25" t="e">
        <x:f>HYPERLINK("https://img.alicdn.com/bao/uploaded/i2/2200697069868/O1CN01nofgGC2MlbPG15tkW_!!4611686018427380012-0-item_pic.jpg","查看主图")</x:f>
        <x:v>HYPERLINK is not implemented. linkLocation=https://img.alicdn.com/bao/uploaded/i2/2200697069868/O1CN01nofgGC2MlbPG15tkW_!!4611686018427380012-0-item_pic.jpg, friendlyName=查看主图</x:v>
      </x:c>
      <x:c r="L106" s="9" t="str">
        <x:v>无明确性别信息</x:v>
      </x:c>
      <x:c r="M106" s="9" t="str">
        <x:v>运动下装</x:v>
      </x:c>
      <x:c r="N106" s="9" t="str">
        <x:v>排行榜_商品榜_销售额榜_热销_运动服_休闲服装-运休闲服装-跑步短裤_2025-11-01_2026-10-31 (7).xlsx</x:v>
      </x:c>
      <x:c r="O106" s="9" t="str">
        <x:v>默认</x:v>
      </x:c>
      <x:c r="P106" s="9" t="n">
        <x:v>200</x:v>
      </x:c>
      <x:c r="Q106" s="9" t="str">
        <x:v>b4959cd74b14f4314b9473c91799b973e0b2ff209bedfdac04b6266e6a5d9ce9</x:v>
      </x:c>
      <x:c r="R106" s="9" t="str">
        <x:v>MIX_SPORT_AVGPAID_1300_1400_ANNUAL2026</x:v>
      </x:c>
      <x:c r="S106" s="9" t="str">
        <x:v>排行榜_商品榜_销售额榜_热销_运动服_休闲服装-运休闲服装-跑步短裤_2025-11-01_2026-10-31 (7).xlsx / 默认 / 第200行 / SHA256 b4959cd74b14f4314b9473c91799b973e0b2ff209bedfdac04b6266e6a5d9ce9</x:v>
      </x:c>
    </x:row>
    <x:row r="107" ht="58" customHeight="1">
      <x:c r="A107" s="23" t="str">
        <x:v>877322809887</x:v>
      </x:c>
      <x:c r="B107" s="22"/>
      <x:c r="C107" s="22"/>
      <x:c r="D107" s="9" t="str">
        <x:v>ANNA SUI安娜苏运动休闲阔腿裤</x:v>
      </x:c>
      <x:c r="E107" s="9" t="str">
        <x:v>ANNA SUI/安娜苏</x:v>
      </x:c>
      <x:c r="F107" s="9" t="str">
        <x:v>长裤</x:v>
      </x:c>
      <x:c r="G107" s="9" t="str">
        <x:v>训练／运动长裤</x:v>
      </x:c>
      <x:c r="H107" s="24" t="n">
        <x:v>1380</x:v>
      </x:c>
      <x:c r="I107" s="25" t="e">
        <x:f>HYPERLINK("https://item.taobao.com/item.htm?id=877322809887","打开商品")</x:f>
        <x:v>HYPERLINK is not implemented. linkLocation=https://item.taobao.com/item.htm?id=877322809887, friendlyName=打开商品</x:v>
      </x:c>
      <x:c r="J107" s="25" t="e">
        <x:f>HYPERLINK("https://data.zhiyitech.cn/itemDetail/overview/base?itemId=877322809887","打开知衣")</x:f>
        <x:v>HYPERLINK is not implemented. linkLocation=https://data.zhiyitech.cn/itemDetail/overview/base?itemId=877322809887, friendlyName=打开知衣</x:v>
      </x:c>
      <x:c r="K107" s="25" t="e">
        <x:f>HYPERLINK("https://img.alicdn.com/i1/2200697069868/O1CN01Kt3Inm2MlbUJNc7XQ_!!2200697069868.jpg","查看主图")</x:f>
        <x:v>HYPERLINK is not implemented. linkLocation=https://img.alicdn.com/i1/2200697069868/O1CN01Kt3Inm2MlbUJNc7XQ_!!2200697069868.jpg, friendlyName=查看主图</x:v>
      </x:c>
      <x:c r="L107" s="9" t="str">
        <x:v>无明确性别信息</x:v>
      </x:c>
      <x:c r="M107" s="9" t="str">
        <x:v>运动下装</x:v>
      </x:c>
      <x:c r="N107" s="9" t="str">
        <x:v>排行榜_商品榜_销售额榜_热销_运动服_休闲服装-运休闲服装-跑步短裤_2025-11-01_2026-10-31 (7).xlsx</x:v>
      </x:c>
      <x:c r="O107" s="9" t="str">
        <x:v>默认</x:v>
      </x:c>
      <x:c r="P107" s="9" t="n">
        <x:v>149</x:v>
      </x:c>
      <x:c r="Q107" s="9" t="str">
        <x:v>b4959cd74b14f4314b9473c91799b973e0b2ff209bedfdac04b6266e6a5d9ce9</x:v>
      </x:c>
      <x:c r="R107" s="9" t="str">
        <x:v>MIX_SPORT_AVGPAID_1300_1400_ANNUAL2026</x:v>
      </x:c>
      <x:c r="S107" s="9" t="str">
        <x:v>排行榜_商品榜_销售额榜_热销_运动服_休闲服装-运休闲服装-跑步短裤_2025-11-01_2026-10-31 (7).xlsx / 默认 / 第149行 / SHA256 b4959cd74b14f4314b9473c91799b973e0b2ff209bedfdac04b6266e6a5d9ce9</x:v>
      </x:c>
    </x:row>
    <x:row r="108" ht="58" customHeight="1">
      <x:c r="A108" s="23" t="str">
        <x:v>886826739035</x:v>
      </x:c>
      <x:c r="B108" s="22"/>
      <x:c r="C108" s="22"/>
      <x:c r="D108" s="9" t="str">
        <x:v>ANNA SUI安娜苏运动 Master 明星同款全能防护防风防雨户外工装裤</x:v>
      </x:c>
      <x:c r="E108" s="9" t="str">
        <x:v>ANNA SUI/安娜苏</x:v>
      </x:c>
      <x:c r="F108" s="9" t="str">
        <x:v>长裤</x:v>
      </x:c>
      <x:c r="G108" s="9" t="str">
        <x:v>训练／运动长裤</x:v>
      </x:c>
      <x:c r="H108" s="24" t="n">
        <x:v>1329.72</x:v>
      </x:c>
      <x:c r="I108" s="25" t="e">
        <x:f>HYPERLINK("https://item.taobao.com/item.htm?id=886826739035","打开商品")</x:f>
        <x:v>HYPERLINK is not implemented. linkLocation=https://item.taobao.com/item.htm?id=886826739035, friendlyName=打开商品</x:v>
      </x:c>
      <x:c r="J108" s="25" t="e">
        <x:f>HYPERLINK("https://data.zhiyitech.cn/itemDetail/overview/base?itemId=886826739035","打开知衣")</x:f>
        <x:v>HYPERLINK is not implemented. linkLocation=https://data.zhiyitech.cn/itemDetail/overview/base?itemId=886826739035, friendlyName=打开知衣</x:v>
      </x:c>
      <x:c r="K108" s="25" t="e">
        <x:f>HYPERLINK("https://img.alicdn.com/bao/uploaded/i1/2200697069868/O1CN01xZXbINYBcMJ1chua_!!2200697069868.jpg","查看主图")</x:f>
        <x:v>HYPERLINK is not implemented. linkLocation=https://img.alicdn.com/bao/uploaded/i1/2200697069868/O1CN01xZXbINYBcMJ1chua_!!2200697069868.jpg, friendlyName=查看主图</x:v>
      </x:c>
      <x:c r="L108" s="9" t="str">
        <x:v>无明确性别信息</x:v>
      </x:c>
      <x:c r="M108" s="9" t="str">
        <x:v>运动下装</x:v>
      </x:c>
      <x:c r="N108" s="9" t="str">
        <x:v>排行榜_商品榜_销售额榜_热销_运动服_休闲服装-运休闲服装-跑步短裤_2025-11-01_2026-10-31 (7).xlsx</x:v>
      </x:c>
      <x:c r="O108" s="9" t="str">
        <x:v>默认</x:v>
      </x:c>
      <x:c r="P108" s="9" t="n">
        <x:v>161</x:v>
      </x:c>
      <x:c r="Q108" s="9" t="str">
        <x:v>b4959cd74b14f4314b9473c91799b973e0b2ff209bedfdac04b6266e6a5d9ce9</x:v>
      </x:c>
      <x:c r="R108" s="9" t="str">
        <x:v>MIX_SPORT_AVGPAID_1300_1400_ANNUAL2026</x:v>
      </x:c>
      <x:c r="S108" s="9" t="str">
        <x:v>排行榜_商品榜_销售额榜_热销_运动服_休闲服装-运休闲服装-跑步短裤_2025-11-01_2026-10-31 (7).xlsx / 默认 / 第161行 / SHA256 b4959cd74b14f4314b9473c91799b973e0b2ff209bedfdac04b6266e6a5d9ce9</x:v>
      </x:c>
    </x:row>
    <x:row r="109" ht="58" customHeight="1">
      <x:c r="A109" s="23" t="str">
        <x:v>900514822679</x:v>
      </x:c>
      <x:c r="B109" s="22"/>
      <x:c r="C109" s="22"/>
      <x:c r="D109" s="9" t="str">
        <x:v>安娜苏运动防泼水微喇长裤</x:v>
      </x:c>
      <x:c r="E109" s="9" t="str">
        <x:v>ANNA SUI/安娜苏</x:v>
      </x:c>
      <x:c r="F109" s="9" t="str">
        <x:v>长裤</x:v>
      </x:c>
      <x:c r="G109" s="9" t="str">
        <x:v>训练／运动长裤</x:v>
      </x:c>
      <x:c r="H109" s="24" t="n">
        <x:v>1245.9</x:v>
      </x:c>
      <x:c r="I109" s="25" t="e">
        <x:f>HYPERLINK("https://item.taobao.com/item.htm?id=900514822679","打开商品")</x:f>
        <x:v>HYPERLINK is not implemented. linkLocation=https://item.taobao.com/item.htm?id=900514822679, friendlyName=打开商品</x:v>
      </x:c>
      <x:c r="J109" s="25" t="e">
        <x:f>HYPERLINK("https://data.zhiyitech.cn/itemDetail/overview/base?itemId=900514822679","打开知衣")</x:f>
        <x:v>HYPERLINK is not implemented. linkLocation=https://data.zhiyitech.cn/itemDetail/overview/base?itemId=900514822679, friendlyName=打开知衣</x:v>
      </x:c>
      <x:c r="K109" s="25" t="e">
        <x:f>HYPERLINK("https://img.alicdn.com/bao/uploaded/i1/2200697069868/O1CN01QQBOxlzHTwI1chua_!!2200697069868.jpg","查看主图")</x:f>
        <x:v>HYPERLINK is not implemented. linkLocation=https://img.alicdn.com/bao/uploaded/i1/2200697069868/O1CN01QQBOxlzHTwI1chua_!!2200697069868.jpg, friendlyName=查看主图</x:v>
      </x:c>
      <x:c r="L109" s="9" t="str">
        <x:v>无明确性别信息</x:v>
      </x:c>
      <x:c r="M109" s="9" t="str">
        <x:v>运动下装</x:v>
      </x:c>
      <x:c r="N109" s="9" t="str">
        <x:v>排行榜_商品榜_销售额榜_热销_运动服_休闲服装-运休闲服装-跑步短裤_2025-11-01_2026-10-31 (8).xlsx</x:v>
      </x:c>
      <x:c r="O109" s="9" t="str">
        <x:v>默认</x:v>
      </x:c>
      <x:c r="P109" s="9" t="n">
        <x:v>119</x:v>
      </x:c>
      <x:c r="Q109" s="9" t="str">
        <x:v>188467edd382ec56460cb456b88a35e4bc41edeb6d84588a2971ef0bea45a429</x:v>
      </x:c>
      <x:c r="R109" s="9" t="str">
        <x:v>MIX_SPORT_AVGPAID_1200_1300_ANNUAL2026</x:v>
      </x:c>
      <x:c r="S109" s="9" t="str">
        <x:v>排行榜_商品榜_销售额榜_热销_运动服_休闲服装-运休闲服装-跑步短裤_2025-11-01_2026-10-31 (8).xlsx / 默认 / 第119行 / SHA256 188467edd382ec56460cb456b88a35e4bc41edeb6d84588a2971ef0bea45a429</x:v>
      </x:c>
    </x:row>
    <x:row r="110" ht="58" customHeight="1">
      <x:c r="A110" s="23" t="str">
        <x:v>912739617244</x:v>
      </x:c>
      <x:c r="B110" s="22"/>
      <x:c r="C110" s="22"/>
      <x:c r="D110" s="9" t="str">
        <x:v>安娜苏运动蕾丝拼接阔腿长裤</x:v>
      </x:c>
      <x:c r="E110" s="9" t="str">
        <x:v>ANNA SUI/安娜苏</x:v>
      </x:c>
      <x:c r="F110" s="9" t="str">
        <x:v>长裤</x:v>
      </x:c>
      <x:c r="G110" s="9" t="str">
        <x:v>训练／运动长裤</x:v>
      </x:c>
      <x:c r="H110" s="24" t="n">
        <x:v>1885.71</x:v>
      </x:c>
      <x:c r="I110" s="25" t="e">
        <x:f>HYPERLINK("https://item.taobao.com/item.htm?id=912739617244","打开商品")</x:f>
        <x:v>HYPERLINK is not implemented. linkLocation=https://item.taobao.com/item.htm?id=912739617244, friendlyName=打开商品</x:v>
      </x:c>
      <x:c r="J110" s="25" t="e">
        <x:f>HYPERLINK("https://data.zhiyitech.cn/itemDetail/overview/base?itemId=912739617244","打开知衣")</x:f>
        <x:v>HYPERLINK is not implemented. linkLocation=https://data.zhiyitech.cn/itemDetail/overview/base?itemId=912739617244, friendlyName=打开知衣</x:v>
      </x:c>
      <x:c r="K110" s="25" t="e">
        <x:f>HYPERLINK("https://img.alicdn.com/bao/uploaded/i2/2200697069868/O1CN01qxrNP62MlbQTzDl4h_!!4611686018427380012-0-item_pic.jpg","查看主图")</x:f>
        <x:v>HYPERLINK is not implemented. linkLocation=https://img.alicdn.com/bao/uploaded/i2/2200697069868/O1CN01qxrNP62MlbQTzDl4h_!!4611686018427380012-0-item_pic.jpg, friendlyName=查看主图</x:v>
      </x:c>
      <x:c r="L110" s="9" t="str">
        <x:v>无明确性别信息</x:v>
      </x:c>
      <x:c r="M110" s="9" t="str">
        <x:v>运动下装</x:v>
      </x:c>
      <x:c r="N110" s="9" t="str">
        <x:v>排行榜_商品榜_销售额榜_热销_运动服_休闲服装-运休闲服装-跑步短裤_2025-11-01_2026-10-31 (2).xlsx</x:v>
      </x:c>
      <x:c r="O110" s="9" t="str">
        <x:v>默认</x:v>
      </x:c>
      <x:c r="P110" s="9" t="n">
        <x:v>17</x:v>
      </x:c>
      <x:c r="Q110" s="9" t="str">
        <x:v>d4303838acbe96e5d87b9779c87272c941a19ebdcbae2ed4b34c418160904013</x:v>
      </x:c>
      <x:c r="R110" s="9" t="str">
        <x:v>MIX_SPORT_AVGPAID_1800_1900_ANNUAL2026</x:v>
      </x:c>
      <x:c r="S110" s="9" t="str">
        <x:v>排行榜_商品榜_销售额榜_热销_运动服_休闲服装-运休闲服装-跑步短裤_2025-11-01_2026-10-31 (2).xlsx / 默认 / 第17行 / SHA256 d4303838acbe96e5d87b9779c87272c941a19ebdcbae2ed4b34c418160904013</x:v>
      </x:c>
    </x:row>
    <x:row r="111" ht="58" customHeight="1">
      <x:c r="A111" s="23" t="str">
        <x:v>959079627977</x:v>
      </x:c>
      <x:c r="B111" s="22"/>
      <x:c r="C111" s="22"/>
      <x:c r="D111" s="9" t="str">
        <x:v>安娜苏运动弹力褶皱工装裤</x:v>
      </x:c>
      <x:c r="E111" s="9" t="str">
        <x:v>ANNA SUI/安娜苏</x:v>
      </x:c>
      <x:c r="F111" s="9" t="str">
        <x:v>长裤</x:v>
      </x:c>
      <x:c r="G111" s="9" t="str">
        <x:v>训练／运动长裤</x:v>
      </x:c>
      <x:c r="H111" s="24" t="n">
        <x:v>1325</x:v>
      </x:c>
      <x:c r="I111" s="25" t="e">
        <x:f>HYPERLINK("https://item.taobao.com/item.htm?id=959079627977","打开商品")</x:f>
        <x:v>HYPERLINK is not implemented. linkLocation=https://item.taobao.com/item.htm?id=959079627977, friendlyName=打开商品</x:v>
      </x:c>
      <x:c r="J111" s="25" t="e">
        <x:f>HYPERLINK("https://data.zhiyitech.cn/itemDetail/overview/base?itemId=959079627977","打开知衣")</x:f>
        <x:v>HYPERLINK is not implemented. linkLocation=https://data.zhiyitech.cn/itemDetail/overview/base?itemId=959079627977, friendlyName=打开知衣</x:v>
      </x:c>
      <x:c r="K111" s="25" t="e">
        <x:f>HYPERLINK("https://img.alicdn.com/bao/uploaded/i4/2200697069868/O1CN011m7kGM2MlbSfEn0Sx_!!4611686018427380012-0-item_pic.jpg","查看主图")</x:f>
        <x:v>HYPERLINK is not implemented. linkLocation=https://img.alicdn.com/bao/uploaded/i4/2200697069868/O1CN011m7kGM2MlbSfEn0Sx_!!4611686018427380012-0-item_pic.jpg, friendlyName=查看主图</x:v>
      </x:c>
      <x:c r="L111" s="9" t="str">
        <x:v>无明确性别信息</x:v>
      </x:c>
      <x:c r="M111" s="9" t="str">
        <x:v>运动下装</x:v>
      </x:c>
      <x:c r="N111" s="9" t="str">
        <x:v>排行榜_商品榜_销售额榜_热销_运动服_休闲服装-运休闲服装-跑步短裤_2025-11-01_2026-10-31 (7).xlsx</x:v>
      </x:c>
      <x:c r="O111" s="9" t="str">
        <x:v>默认</x:v>
      </x:c>
      <x:c r="P111" s="9" t="n">
        <x:v>185</x:v>
      </x:c>
      <x:c r="Q111" s="9" t="str">
        <x:v>b4959cd74b14f4314b9473c91799b973e0b2ff209bedfdac04b6266e6a5d9ce9</x:v>
      </x:c>
      <x:c r="R111" s="9" t="str">
        <x:v>MIX_SPORT_AVGPAID_1300_1400_ANNUAL2026</x:v>
      </x:c>
      <x:c r="S111" s="9" t="str">
        <x:v>排行榜_商品榜_销售额榜_热销_运动服_休闲服装-运休闲服装-跑步短裤_2025-11-01_2026-10-31 (7).xlsx / 默认 / 第185行 / SHA256 b4959cd74b14f4314b9473c91799b973e0b2ff209bedfdac04b6266e6a5d9ce9</x:v>
      </x:c>
    </x:row>
    <x:row r="112" ht="58" customHeight="1">
      <x:c r="A112" s="23" t="str">
        <x:v>959105495205</x:v>
      </x:c>
      <x:c r="B112" s="22"/>
      <x:c r="C112" s="22"/>
      <x:c r="D112" s="9" t="str">
        <x:v>安娜苏运动束脚运动长裤</x:v>
      </x:c>
      <x:c r="E112" s="9" t="str">
        <x:v>ANNA SUI/安娜苏</x:v>
      </x:c>
      <x:c r="F112" s="9" t="str">
        <x:v>长裤</x:v>
      </x:c>
      <x:c r="G112" s="9" t="str">
        <x:v>训练／运动长裤</x:v>
      </x:c>
      <x:c r="H112" s="24" t="n">
        <x:v>1062.17</x:v>
      </x:c>
      <x:c r="I112" s="25" t="e">
        <x:f>HYPERLINK("https://item.taobao.com/item.htm?id=959105495205","打开商品")</x:f>
        <x:v>HYPERLINK is not implemented. linkLocation=https://item.taobao.com/item.htm?id=959105495205, friendlyName=打开商品</x:v>
      </x:c>
      <x:c r="J112" s="25" t="e">
        <x:f>HYPERLINK("https://data.zhiyitech.cn/itemDetail/overview/base?itemId=959105495205","打开知衣")</x:f>
        <x:v>HYPERLINK is not implemented. linkLocation=https://data.zhiyitech.cn/itemDetail/overview/base?itemId=959105495205, friendlyName=打开知衣</x:v>
      </x:c>
      <x:c r="K112" s="25" t="e">
        <x:f>HYPERLINK("https://img.alicdn.com/bao/uploaded/i1/2200697069868/O1CN01Lt5Zgk2MlbUvlGKur_!!4611686018427380012-0-item_pic.jpg","查看主图")</x:f>
        <x:v>HYPERLINK is not implemented. linkLocation=https://img.alicdn.com/bao/uploaded/i1/2200697069868/O1CN01Lt5Zgk2MlbUvlGKur_!!4611686018427380012-0-item_pic.jpg, friendlyName=查看主图</x:v>
      </x:c>
      <x:c r="L112" s="9" t="str">
        <x:v>无明确性别信息</x:v>
      </x:c>
      <x:c r="M112" s="9" t="str">
        <x:v>运动下装</x:v>
      </x:c>
      <x:c r="N112" s="9" t="str">
        <x:v>排行榜_商品榜_销售额榜_热销_运动服_休闲服装-运休闲服装-跑步短裤_2025-11-01_2026-10-31 (10).xlsx</x:v>
      </x:c>
      <x:c r="O112" s="9" t="str">
        <x:v>默认</x:v>
      </x:c>
      <x:c r="P112" s="9" t="n">
        <x:v>191</x:v>
      </x:c>
      <x:c r="Q112" s="9" t="str">
        <x:v>77c2723e3730f60e82908e61638dbb3700ba4d487e03331cf25303638bb2767e</x:v>
      </x:c>
      <x:c r="R112" s="9" t="str">
        <x:v>MIX_SPORT_AVGPAID_1000_1100_ANNUAL2026</x:v>
      </x:c>
      <x:c r="S112" s="9" t="str">
        <x:v>排行榜_商品榜_销售额榜_热销_运动服_休闲服装-运休闲服装-跑步短裤_2025-11-01_2026-10-31 (10).xlsx / 默认 / 第191行 / SHA256 77c2723e3730f60e82908e61638dbb3700ba4d487e03331cf25303638bb2767e</x:v>
      </x:c>
    </x:row>
    <x:row r="113" ht="58" customHeight="1">
      <x:c r="A113" s="23" t="str">
        <x:v>959674617388</x:v>
      </x:c>
      <x:c r="B113" s="22"/>
      <x:c r="C113" s="22"/>
      <x:c r="D113" s="9" t="str">
        <x:v>安娜苏运动微喇修身户外运动长裤</x:v>
      </x:c>
      <x:c r="E113" s="9" t="str">
        <x:v>ANNA SUI/安娜苏</x:v>
      </x:c>
      <x:c r="F113" s="9" t="str">
        <x:v>长裤</x:v>
      </x:c>
      <x:c r="G113" s="9" t="str">
        <x:v>训练／运动长裤</x:v>
      </x:c>
      <x:c r="H113" s="24" t="n">
        <x:v>1235</x:v>
      </x:c>
      <x:c r="I113" s="25" t="e">
        <x:f>HYPERLINK("https://item.taobao.com/item.htm?id=959674617388","打开商品")</x:f>
        <x:v>HYPERLINK is not implemented. linkLocation=https://item.taobao.com/item.htm?id=959674617388, friendlyName=打开商品</x:v>
      </x:c>
      <x:c r="J113" s="25" t="e">
        <x:f>HYPERLINK("https://data.zhiyitech.cn/itemDetail/overview/base?itemId=959674617388","打开知衣")</x:f>
        <x:v>HYPERLINK is not implemented. linkLocation=https://data.zhiyitech.cn/itemDetail/overview/base?itemId=959674617388, friendlyName=打开知衣</x:v>
      </x:c>
      <x:c r="K113" s="25" t="e">
        <x:f>HYPERLINK("https://img.alicdn.com/bao/uploaded/i1/2200697069868/O1CN01CpJ5rq2MlbUeNqyX8_!!4611686018427380012-0-item_pic.jpg","查看主图")</x:f>
        <x:v>HYPERLINK is not implemented. linkLocation=https://img.alicdn.com/bao/uploaded/i1/2200697069868/O1CN01CpJ5rq2MlbUeNqyX8_!!4611686018427380012-0-item_pic.jpg, friendlyName=查看主图</x:v>
      </x:c>
      <x:c r="L113" s="9" t="str">
        <x:v>无明确性别信息</x:v>
      </x:c>
      <x:c r="M113" s="9" t="str">
        <x:v>运动下装</x:v>
      </x:c>
      <x:c r="N113" s="9" t="str">
        <x:v>排行榜_商品榜_销售额榜_热销_运动服_休闲服装-运休闲服装-跑步短裤_2025-11-01_2026-10-31 (8).xlsx</x:v>
      </x:c>
      <x:c r="O113" s="9" t="str">
        <x:v>默认</x:v>
      </x:c>
      <x:c r="P113" s="9" t="n">
        <x:v>166</x:v>
      </x:c>
      <x:c r="Q113" s="9" t="str">
        <x:v>188467edd382ec56460cb456b88a35e4bc41edeb6d84588a2971ef0bea45a429</x:v>
      </x:c>
      <x:c r="R113" s="9" t="str">
        <x:v>MIX_SPORT_AVGPAID_1200_1300_ANNUAL2026</x:v>
      </x:c>
      <x:c r="S113" s="9" t="str">
        <x:v>排行榜_商品榜_销售额榜_热销_运动服_休闲服装-运休闲服装-跑步短裤_2025-11-01_2026-10-31 (8).xlsx / 默认 / 第166行 / SHA256 188467edd382ec56460cb456b88a35e4bc41edeb6d84588a2971ef0bea45a429</x:v>
      </x:c>
    </x:row>
    <x:row r="114" ht="58" customHeight="1">
      <x:c r="A114" s="23" t="str">
        <x:v>960818536045</x:v>
      </x:c>
      <x:c r="B114" s="22"/>
      <x:c r="C114" s="22"/>
      <x:c r="D114" s="9" t="str">
        <x:v>安娜苏运动修身弹力小脚裤</x:v>
      </x:c>
      <x:c r="E114" s="9" t="str">
        <x:v>ANNA SUI/安娜苏</x:v>
      </x:c>
      <x:c r="F114" s="9" t="str">
        <x:v>长裤</x:v>
      </x:c>
      <x:c r="G114" s="9" t="str">
        <x:v>训练／运动长裤</x:v>
      </x:c>
      <x:c r="H114" s="24" t="n">
        <x:v>1437.46</x:v>
      </x:c>
      <x:c r="I114" s="25" t="e">
        <x:f>HYPERLINK("https://item.taobao.com/item.htm?id=960818536045","打开商品")</x:f>
        <x:v>HYPERLINK is not implemented. linkLocation=https://item.taobao.com/item.htm?id=960818536045, friendlyName=打开商品</x:v>
      </x:c>
      <x:c r="J114" s="25" t="e">
        <x:f>HYPERLINK("https://data.zhiyitech.cn/itemDetail/overview/base?itemId=960818536045","打开知衣")</x:f>
        <x:v>HYPERLINK is not implemented. linkLocation=https://data.zhiyitech.cn/itemDetail/overview/base?itemId=960818536045, friendlyName=打开知衣</x:v>
      </x:c>
      <x:c r="K114" s="25" t="e">
        <x:f>HYPERLINK("https://img.alicdn.com/bao/uploaded/i4/2200697069868/O1CN0154IYHJ2MlbWqvUcgo_!!4611686018427380012-0-item_pic.jpg","查看主图")</x:f>
        <x:v>HYPERLINK is not implemented. linkLocation=https://img.alicdn.com/bao/uploaded/i4/2200697069868/O1CN0154IYHJ2MlbWqvUcgo_!!4611686018427380012-0-item_pic.jpg, friendlyName=查看主图</x:v>
      </x:c>
      <x:c r="L114" s="9" t="str">
        <x:v>无明确性别信息</x:v>
      </x:c>
      <x:c r="M114" s="9" t="str">
        <x:v>运动下装</x:v>
      </x:c>
      <x:c r="N114" s="9" t="str">
        <x:v>排行榜_商品榜_销售额榜_热销_运动服_休闲服装-运休闲服装-跑步短裤_2025-11-01_2026-10-31 (6).xlsx</x:v>
      </x:c>
      <x:c r="O114" s="9" t="str">
        <x:v>默认</x:v>
      </x:c>
      <x:c r="P114" s="9" t="n">
        <x:v>41</x:v>
      </x:c>
      <x:c r="Q114" s="9" t="str">
        <x:v>51c5baf852346f6326f6a242f8205ac9db74e4145a36be5e01e3352750e8cecc</x:v>
      </x:c>
      <x:c r="R114" s="9" t="str">
        <x:v>MIX_SPORT_AVGPAID_1400_1500_ANNUAL2026</x:v>
      </x:c>
      <x:c r="S114" s="9" t="str">
        <x:v>排行榜_商品榜_销售额榜_热销_运动服_休闲服装-运休闲服装-跑步短裤_2025-11-01_2026-10-31 (6).xlsx / 默认 / 第41行 / SHA256 51c5baf852346f6326f6a242f8205ac9db74e4145a36be5e01e3352750e8cecc</x:v>
      </x:c>
    </x:row>
    <x:row r="115" ht="58" customHeight="1">
      <x:c r="A115" s="23" t="str">
        <x:v>962041330813</x:v>
      </x:c>
      <x:c r="B115" s="22"/>
      <x:c r="C115" s="22"/>
      <x:c r="D115" s="9" t="str">
        <x:v>安娜苏运动仿牛仔梭织休闲长裤</x:v>
      </x:c>
      <x:c r="E115" s="9" t="str">
        <x:v>ANNA SUI/安娜苏</x:v>
      </x:c>
      <x:c r="F115" s="9" t="str">
        <x:v>长裤</x:v>
      </x:c>
      <x:c r="G115" s="9" t="str">
        <x:v>训练／运动长裤</x:v>
      </x:c>
      <x:c r="H115" s="24" t="n">
        <x:v>1581.82</x:v>
      </x:c>
      <x:c r="I115" s="25" t="e">
        <x:f>HYPERLINK("https://item.taobao.com/item.htm?id=962041330813","打开商品")</x:f>
        <x:v>HYPERLINK is not implemented. linkLocation=https://item.taobao.com/item.htm?id=962041330813, friendlyName=打开商品</x:v>
      </x:c>
      <x:c r="J115" s="25" t="e">
        <x:f>HYPERLINK("https://data.zhiyitech.cn/itemDetail/overview/base?itemId=962041330813","打开知衣")</x:f>
        <x:v>HYPERLINK is not implemented. linkLocation=https://data.zhiyitech.cn/itemDetail/overview/base?itemId=962041330813, friendlyName=打开知衣</x:v>
      </x:c>
      <x:c r="K115" s="25" t="e">
        <x:f>HYPERLINK("https://img.alicdn.com/bao/uploaded/i4/2200697069868/O1CN01d18Eyp2MlbSTI4Mm0_!!4611686018427380012-0-item_pic.jpg","查看主图")</x:f>
        <x:v>HYPERLINK is not implemented. linkLocation=https://img.alicdn.com/bao/uploaded/i4/2200697069868/O1CN01d18Eyp2MlbSTI4Mm0_!!4611686018427380012-0-item_pic.jpg, friendlyName=查看主图</x:v>
      </x:c>
      <x:c r="L115" s="9" t="str">
        <x:v>无明确性别信息</x:v>
      </x:c>
      <x:c r="M115" s="9" t="str">
        <x:v>运动下装</x:v>
      </x:c>
      <x:c r="N115" s="9" t="str">
        <x:v>排行榜_商品榜_销售额榜_热销_运动服_休闲服装-运休闲服装-跑步短裤_2025-11-01_2026-10-31 (5).xlsx</x:v>
      </x:c>
      <x:c r="O115" s="9" t="str">
        <x:v>默认</x:v>
      </x:c>
      <x:c r="P115" s="9" t="n">
        <x:v>71</x:v>
      </x:c>
      <x:c r="Q115" s="9" t="str">
        <x:v>9ad7424665e3f8b592ed8cec3e99707eea5b9bd2316d324ab5977c56b4039ec9</x:v>
      </x:c>
      <x:c r="R115" s="9" t="str">
        <x:v>MIX_SPORT_AVGPAID_1500_1600_ANNUAL2026</x:v>
      </x:c>
      <x:c r="S115" s="9" t="str">
        <x:v>排行榜_商品榜_销售额榜_热销_运动服_休闲服装-运休闲服装-跑步短裤_2025-11-01_2026-10-31 (5).xlsx / 默认 / 第71行 / SHA256 9ad7424665e3f8b592ed8cec3e99707eea5b9bd2316d324ab5977c56b4039ec9</x:v>
      </x:c>
    </x:row>
    <x:row r="116" ht="58" customHeight="1">
      <x:c r="A116" s="23" t="str">
        <x:v>962086870766</x:v>
      </x:c>
      <x:c r="B116" s="22"/>
      <x:c r="C116" s="22"/>
      <x:c r="D116" s="9" t="str">
        <x:v>ANNA SUI安娜苏运动 早秋宽松直筒休闲运动针织长裤舒适百搭</x:v>
      </x:c>
      <x:c r="E116" s="9" t="str">
        <x:v>ANNA SUI/安娜苏</x:v>
      </x:c>
      <x:c r="F116" s="9" t="str">
        <x:v>长裤</x:v>
      </x:c>
      <x:c r="G116" s="9" t="str">
        <x:v>训练／运动长裤</x:v>
      </x:c>
      <x:c r="H116" s="24" t="n">
        <x:v>1045</x:v>
      </x:c>
      <x:c r="I116" s="25" t="e">
        <x:f>HYPERLINK("https://item.taobao.com/item.htm?id=962086870766","打开商品")</x:f>
        <x:v>HYPERLINK is not implemented. linkLocation=https://item.taobao.com/item.htm?id=962086870766, friendlyName=打开商品</x:v>
      </x:c>
      <x:c r="J116" s="25" t="e">
        <x:f>HYPERLINK("https://data.zhiyitech.cn/itemDetail/overview/base?itemId=962086870766","打开知衣")</x:f>
        <x:v>HYPERLINK is not implemented. linkLocation=https://data.zhiyitech.cn/itemDetail/overview/base?itemId=962086870766, friendlyName=打开知衣</x:v>
      </x:c>
      <x:c r="K116" s="25" t="e">
        <x:f>HYPERLINK("https://img.alicdn.com/bao/uploaded/i3/2200697069868/O1CN01MvH6QO2MlbSTw15tL_!!4611686018427380012-0-item_pic.jpg","查看主图")</x:f>
        <x:v>HYPERLINK is not implemented. linkLocation=https://img.alicdn.com/bao/uploaded/i3/2200697069868/O1CN01MvH6QO2MlbSTw15tL_!!4611686018427380012-0-item_pic.jpg, friendlyName=查看主图</x:v>
      </x:c>
      <x:c r="L116" s="9" t="str">
        <x:v>无明确性别信息</x:v>
      </x:c>
      <x:c r="M116" s="9" t="str">
        <x:v>运动下装</x:v>
      </x:c>
      <x:c r="N116" s="9" t="str">
        <x:v>排行榜_商品榜_销售额榜_热销_运动服_休闲服装-运休闲服装-跑步短裤_2025-11-01_2026-10-31 (10).xlsx</x:v>
      </x:c>
      <x:c r="O116" s="9" t="str">
        <x:v>默认</x:v>
      </x:c>
      <x:c r="P116" s="9" t="n">
        <x:v>370</x:v>
      </x:c>
      <x:c r="Q116" s="9" t="str">
        <x:v>77c2723e3730f60e82908e61638dbb3700ba4d487e03331cf25303638bb2767e</x:v>
      </x:c>
      <x:c r="R116" s="9" t="str">
        <x:v>MIX_SPORT_AVGPAID_1000_1100_ANNUAL2026</x:v>
      </x:c>
      <x:c r="S116" s="9" t="str">
        <x:v>排行榜_商品榜_销售额榜_热销_运动服_休闲服装-运休闲服装-跑步短裤_2025-11-01_2026-10-31 (10).xlsx / 默认 / 第370行 / SHA256 77c2723e3730f60e82908e61638dbb3700ba4d487e03331cf25303638bb2767e</x:v>
      </x:c>
    </x:row>
    <x:row r="117" ht="58" customHeight="1">
      <x:c r="A117" s="23" t="str">
        <x:v>962089898225</x:v>
      </x:c>
      <x:c r="B117" s="22"/>
      <x:c r="C117" s="22"/>
      <x:c r="D117" s="9" t="str">
        <x:v>安娜苏运动束脚工装长裤</x:v>
      </x:c>
      <x:c r="E117" s="9" t="str">
        <x:v>ANNA SUI/安娜苏</x:v>
      </x:c>
      <x:c r="F117" s="9" t="str">
        <x:v>长裤</x:v>
      </x:c>
      <x:c r="G117" s="9" t="str">
        <x:v>训练／运动长裤</x:v>
      </x:c>
      <x:c r="H117" s="24" t="n">
        <x:v>1423.14</x:v>
      </x:c>
      <x:c r="I117" s="25" t="e">
        <x:f>HYPERLINK("https://item.taobao.com/item.htm?id=962089898225","打开商品")</x:f>
        <x:v>HYPERLINK is not implemented. linkLocation=https://item.taobao.com/item.htm?id=962089898225, friendlyName=打开商品</x:v>
      </x:c>
      <x:c r="J117" s="25" t="e">
        <x:f>HYPERLINK("https://data.zhiyitech.cn/itemDetail/overview/base?itemId=962089898225","打开知衣")</x:f>
        <x:v>HYPERLINK is not implemented. linkLocation=https://data.zhiyitech.cn/itemDetail/overview/base?itemId=962089898225, friendlyName=打开知衣</x:v>
      </x:c>
      <x:c r="K117" s="25" t="e">
        <x:f>HYPERLINK("https://img.alicdn.com/bao/uploaded/i1/2200697069868/O1CN01IQLUDD2MlbShxsr1A_!!4611686018427380012-0-item_pic.jpg","查看主图")</x:f>
        <x:v>HYPERLINK is not implemented. linkLocation=https://img.alicdn.com/bao/uploaded/i1/2200697069868/O1CN01IQLUDD2MlbShxsr1A_!!4611686018427380012-0-item_pic.jpg, friendlyName=查看主图</x:v>
      </x:c>
      <x:c r="L117" s="9" t="str">
        <x:v>无明确性别信息</x:v>
      </x:c>
      <x:c r="M117" s="9" t="str">
        <x:v>运动下装</x:v>
      </x:c>
      <x:c r="N117" s="9" t="str">
        <x:v>排行榜_商品榜_销售额榜_热销_运动服_休闲服装-运休闲服装-跑步短裤_2025-11-01_2026-10-31 (6).xlsx</x:v>
      </x:c>
      <x:c r="O117" s="9" t="str">
        <x:v>默认</x:v>
      </x:c>
      <x:c r="P117" s="9" t="n">
        <x:v>60</x:v>
      </x:c>
      <x:c r="Q117" s="9" t="str">
        <x:v>51c5baf852346f6326f6a242f8205ac9db74e4145a36be5e01e3352750e8cecc</x:v>
      </x:c>
      <x:c r="R117" s="9" t="str">
        <x:v>MIX_SPORT_AVGPAID_1400_1500_ANNUAL2026</x:v>
      </x:c>
      <x:c r="S117" s="9" t="str">
        <x:v>排行榜_商品榜_销售额榜_热销_运动服_休闲服装-运休闲服装-跑步短裤_2025-11-01_2026-10-31 (6).xlsx / 默认 / 第60行 / SHA256 51c5baf852346f6326f6a242f8205ac9db74e4145a36be5e01e3352750e8cecc</x:v>
      </x:c>
    </x:row>
    <x:row r="118" ht="58" customHeight="1">
      <x:c r="A118" s="23" t="str">
        <x:v>966408684663</x:v>
      </x:c>
      <x:c r="B118" s="22"/>
      <x:c r="C118" s="22"/>
      <x:c r="D118" s="9" t="str">
        <x:v>安娜苏运动休闲宽松针织阔腿长裤</x:v>
      </x:c>
      <x:c r="E118" s="9" t="str">
        <x:v>ANNA SUI/安娜苏</x:v>
      </x:c>
      <x:c r="F118" s="9" t="str">
        <x:v>长裤</x:v>
      </x:c>
      <x:c r="G118" s="9" t="str">
        <x:v>训练／运动长裤</x:v>
      </x:c>
      <x:c r="H118" s="24" t="n">
        <x:v>1240</x:v>
      </x:c>
      <x:c r="I118" s="25" t="e">
        <x:f>HYPERLINK("https://item.taobao.com/item.htm?id=966408684663","打开商品")</x:f>
        <x:v>HYPERLINK is not implemented. linkLocation=https://item.taobao.com/item.htm?id=966408684663, friendlyName=打开商品</x:v>
      </x:c>
      <x:c r="J118" s="25" t="e">
        <x:f>HYPERLINK("https://data.zhiyitech.cn/itemDetail/overview/base?itemId=966408684663","打开知衣")</x:f>
        <x:v>HYPERLINK is not implemented. linkLocation=https://data.zhiyitech.cn/itemDetail/overview/base?itemId=966408684663, friendlyName=打开知衣</x:v>
      </x:c>
      <x:c r="K118" s="25" t="e">
        <x:f>HYPERLINK("https://img.alicdn.com/bao/uploaded/i3/2200697069868/O1CN01zrZ9Ly2MlbUcO2Pi1_!!4611686018427380012-0-item_pic.jpg","查看主图")</x:f>
        <x:v>HYPERLINK is not implemented. linkLocation=https://img.alicdn.com/bao/uploaded/i3/2200697069868/O1CN01zrZ9Ly2MlbUcO2Pi1_!!4611686018427380012-0-item_pic.jpg, friendlyName=查看主图</x:v>
      </x:c>
      <x:c r="L118" s="9" t="str">
        <x:v>无明确性别信息</x:v>
      </x:c>
      <x:c r="M118" s="9" t="str">
        <x:v>运动下装</x:v>
      </x:c>
      <x:c r="N118" s="9" t="str">
        <x:v>排行榜_商品榜_销售额榜_热销_运动服_休闲服装-运休闲服装-跑步短裤_2025-11-01_2026-10-31 (8).xlsx</x:v>
      </x:c>
      <x:c r="O118" s="9" t="str">
        <x:v>默认</x:v>
      </x:c>
      <x:c r="P118" s="9" t="n">
        <x:v>210</x:v>
      </x:c>
      <x:c r="Q118" s="9" t="str">
        <x:v>188467edd382ec56460cb456b88a35e4bc41edeb6d84588a2971ef0bea45a429</x:v>
      </x:c>
      <x:c r="R118" s="9" t="str">
        <x:v>MIX_SPORT_AVGPAID_1200_1300_ANNUAL2026</x:v>
      </x:c>
      <x:c r="S118" s="9" t="str">
        <x:v>排行榜_商品榜_销售额榜_热销_运动服_休闲服装-运休闲服装-跑步短裤_2025-11-01_2026-10-31 (8).xlsx / 默认 / 第210行 / SHA256 188467edd382ec56460cb456b88a35e4bc41edeb6d84588a2971ef0bea45a429</x:v>
      </x:c>
    </x:row>
    <x:row r="119" ht="58" customHeight="1">
      <x:c r="A119" s="23" t="str">
        <x:v>970301269931</x:v>
      </x:c>
      <x:c r="B119" s="22"/>
      <x:c r="C119" s="22"/>
      <x:c r="D119" s="9" t="str">
        <x:v>安娜苏运动美丽诺羊毛阔腿长裤</x:v>
      </x:c>
      <x:c r="E119" s="9" t="str">
        <x:v>ANNA SUI/安娜苏</x:v>
      </x:c>
      <x:c r="F119" s="9" t="str">
        <x:v>长裤</x:v>
      </x:c>
      <x:c r="G119" s="9" t="str">
        <x:v>训练／运动长裤</x:v>
      </x:c>
      <x:c r="H119" s="24" t="n">
        <x:v>1897.72</x:v>
      </x:c>
      <x:c r="I119" s="25" t="e">
        <x:f>HYPERLINK("https://item.taobao.com/item.htm?id=970301269931","打开商品")</x:f>
        <x:v>HYPERLINK is not implemented. linkLocation=https://item.taobao.com/item.htm?id=970301269931, friendlyName=打开商品</x:v>
      </x:c>
      <x:c r="J119" s="25" t="e">
        <x:f>HYPERLINK("https://data.zhiyitech.cn/itemDetail/overview/base?itemId=970301269931","打开知衣")</x:f>
        <x:v>HYPERLINK is not implemented. linkLocation=https://data.zhiyitech.cn/itemDetail/overview/base?itemId=970301269931, friendlyName=打开知衣</x:v>
      </x:c>
      <x:c r="K119" s="25" t="e">
        <x:f>HYPERLINK("https://img.alicdn.com/bao/uploaded/i4/2200697069868/O1CN01xH1zxP2MlbUwCkuIT_!!4611686018427380012-0-item_pic.jpg","查看主图")</x:f>
        <x:v>HYPERLINK is not implemented. linkLocation=https://img.alicdn.com/bao/uploaded/i4/2200697069868/O1CN01xH1zxP2MlbUwCkuIT_!!4611686018427380012-0-item_pic.jpg, friendlyName=查看主图</x:v>
      </x:c>
      <x:c r="L119" s="9" t="str">
        <x:v>无明确性别信息</x:v>
      </x:c>
      <x:c r="M119" s="9" t="str">
        <x:v>运动下装</x:v>
      </x:c>
      <x:c r="N119" s="9" t="str">
        <x:v>排行榜_商品榜_销售额榜_热销_运动服_休闲服装-运休闲服装-跑步短裤_2025-11-01_2026-10-31 (2).xlsx</x:v>
      </x:c>
      <x:c r="O119" s="9" t="str">
        <x:v>默认</x:v>
      </x:c>
      <x:c r="P119" s="9" t="n">
        <x:v>10</x:v>
      </x:c>
      <x:c r="Q119" s="9" t="str">
        <x:v>d4303838acbe96e5d87b9779c87272c941a19ebdcbae2ed4b34c418160904013</x:v>
      </x:c>
      <x:c r="R119" s="9" t="str">
        <x:v>MIX_SPORT_AVGPAID_1800_1900_ANNUAL2026</x:v>
      </x:c>
      <x:c r="S119" s="9" t="str">
        <x:v>排行榜_商品榜_销售额榜_热销_运动服_休闲服装-运休闲服装-跑步短裤_2025-11-01_2026-10-31 (2).xlsx / 默认 / 第10行 / SHA256 d4303838acbe96e5d87b9779c87272c941a19ebdcbae2ed4b34c418160904013</x:v>
      </x:c>
    </x:row>
    <x:row r="120" ht="58" customHeight="1">
      <x:c r="A120" s="23" t="str">
        <x:v>970887640947</x:v>
      </x:c>
      <x:c r="B120" s="22"/>
      <x:c r="C120" s="22"/>
      <x:c r="D120" s="9" t="str">
        <x:v>安娜苏运动磨毛一片式微喇长裤</x:v>
      </x:c>
      <x:c r="E120" s="9" t="str">
        <x:v>ANNA SUI/安娜苏</x:v>
      </x:c>
      <x:c r="F120" s="9" t="str">
        <x:v>长裤</x:v>
      </x:c>
      <x:c r="G120" s="9" t="str">
        <x:v>训练／运动长裤</x:v>
      </x:c>
      <x:c r="H120" s="24" t="n">
        <x:v>1222.48</x:v>
      </x:c>
      <x:c r="I120" s="25" t="e">
        <x:f>HYPERLINK("https://item.taobao.com/item.htm?id=970887640947","打开商品")</x:f>
        <x:v>HYPERLINK is not implemented. linkLocation=https://item.taobao.com/item.htm?id=970887640947, friendlyName=打开商品</x:v>
      </x:c>
      <x:c r="J120" s="25" t="e">
        <x:f>HYPERLINK("https://data.zhiyitech.cn/itemDetail/overview/base?itemId=970887640947","打开知衣")</x:f>
        <x:v>HYPERLINK is not implemented. linkLocation=https://data.zhiyitech.cn/itemDetail/overview/base?itemId=970887640947, friendlyName=打开知衣</x:v>
      </x:c>
      <x:c r="K120" s="25" t="e">
        <x:f>HYPERLINK("https://img.alicdn.com/bao/uploaded/i1/2200697069868/O1CN01Faslt52MlbSn0IiRQ_!!4611686018427380012-0-item_pic.jpg","查看主图")</x:f>
        <x:v>HYPERLINK is not implemented. linkLocation=https://img.alicdn.com/bao/uploaded/i1/2200697069868/O1CN01Faslt52MlbSn0IiRQ_!!4611686018427380012-0-item_pic.jpg, friendlyName=查看主图</x:v>
      </x:c>
      <x:c r="L120" s="9" t="str">
        <x:v>无明确性别信息</x:v>
      </x:c>
      <x:c r="M120" s="9" t="str">
        <x:v>运动下装</x:v>
      </x:c>
      <x:c r="N120" s="9" t="str">
        <x:v>排行榜_商品榜_销售额榜_热销_运动服_休闲服装-运休闲服装-跑步短裤_2025-11-01_2026-10-31 (8).xlsx</x:v>
      </x:c>
      <x:c r="O120" s="9" t="str">
        <x:v>默认</x:v>
      </x:c>
      <x:c r="P120" s="9" t="n">
        <x:v>112</x:v>
      </x:c>
      <x:c r="Q120" s="9" t="str">
        <x:v>188467edd382ec56460cb456b88a35e4bc41edeb6d84588a2971ef0bea45a429</x:v>
      </x:c>
      <x:c r="R120" s="9" t="str">
        <x:v>MIX_SPORT_AVGPAID_1200_1300_ANNUAL2026</x:v>
      </x:c>
      <x:c r="S120" s="9" t="str">
        <x:v>排行榜_商品榜_销售额榜_热销_运动服_休闲服装-运休闲服装-跑步短裤_2025-11-01_2026-10-31 (8).xlsx / 默认 / 第112行 / SHA256 188467edd382ec56460cb456b88a35e4bc41edeb6d84588a2971ef0bea45a429</x:v>
      </x:c>
    </x:row>
    <x:row r="121" ht="58" customHeight="1">
      <x:c r="A121" s="23" t="str">
        <x:v>972078603192</x:v>
      </x:c>
      <x:c r="B121" s="22"/>
      <x:c r="C121" s="22"/>
      <x:c r="D121" s="9" t="str">
        <x:v>安娜苏运动可机洗抗菌长裤</x:v>
      </x:c>
      <x:c r="E121" s="9" t="str">
        <x:v>ANNA SUI/安娜苏</x:v>
      </x:c>
      <x:c r="F121" s="9" t="str">
        <x:v>长裤</x:v>
      </x:c>
      <x:c r="G121" s="9" t="str">
        <x:v>训练／运动长裤</x:v>
      </x:c>
      <x:c r="H121" s="24" t="n">
        <x:v>1788.92</x:v>
      </x:c>
      <x:c r="I121" s="25" t="e">
        <x:f>HYPERLINK("https://item.taobao.com/item.htm?id=972078603192","打开商品")</x:f>
        <x:v>HYPERLINK is not implemented. linkLocation=https://item.taobao.com/item.htm?id=972078603192, friendlyName=打开商品</x:v>
      </x:c>
      <x:c r="J121" s="25" t="e">
        <x:f>HYPERLINK("https://data.zhiyitech.cn/itemDetail/overview/base?itemId=972078603192","打开知衣")</x:f>
        <x:v>HYPERLINK is not implemented. linkLocation=https://data.zhiyitech.cn/itemDetail/overview/base?itemId=972078603192, friendlyName=打开知衣</x:v>
      </x:c>
      <x:c r="K121" s="25" t="e">
        <x:f>HYPERLINK("https://img.alicdn.com/bao/uploaded/i1/2200697069868/O1CN01w7tQ9W2MlbT3R2u3a_!!4611686018427380012-0-item_pic.jpg","查看主图")</x:f>
        <x:v>HYPERLINK is not implemented. linkLocation=https://img.alicdn.com/bao/uploaded/i1/2200697069868/O1CN01w7tQ9W2MlbT3R2u3a_!!4611686018427380012-0-item_pic.jpg, friendlyName=查看主图</x:v>
      </x:c>
      <x:c r="L121" s="9" t="str">
        <x:v>无明确性别信息</x:v>
      </x:c>
      <x:c r="M121" s="9" t="str">
        <x:v>运动下装</x:v>
      </x:c>
      <x:c r="N121" s="9" t="str">
        <x:v>排行榜_商品榜_销售额榜_热销_运动服_休闲服装-运休闲服装-跑步短裤_2025-11-01_2026-10-31 (3).xlsx</x:v>
      </x:c>
      <x:c r="O121" s="9" t="str">
        <x:v>默认</x:v>
      </x:c>
      <x:c r="P121" s="9" t="n">
        <x:v>34</x:v>
      </x:c>
      <x:c r="Q121" s="9" t="str">
        <x:v>75c32f8ec048c7ff6d1862fee5bc8a3793f270522255a1b54f34ebdea84168ec</x:v>
      </x:c>
      <x:c r="R121" s="9" t="str">
        <x:v>MIX_SPORT_AVGPAID_1700_1800_ANNUAL2026</x:v>
      </x:c>
      <x:c r="S121" s="9" t="str">
        <x:v>排行榜_商品榜_销售额榜_热销_运动服_休闲服装-运休闲服装-跑步短裤_2025-11-01_2026-10-31 (3).xlsx / 默认 / 第34行 / SHA256 75c32f8ec048c7ff6d1862fee5bc8a3793f270522255a1b54f34ebdea84168ec</x:v>
      </x:c>
    </x:row>
    <x:row r="122" ht="58" customHeight="1">
      <x:c r="A122" s="23" t="str">
        <x:v>977650098334</x:v>
      </x:c>
      <x:c r="B122" s="22"/>
      <x:c r="C122" s="22"/>
      <x:c r="D122" s="9" t="str">
        <x:v>ANNA SUI安娜苏运动 秋冬磨毛抓绒束脚运动长裤宽松阔腿加绒卫裤</x:v>
      </x:c>
      <x:c r="E122" s="9" t="str">
        <x:v>ANNA SUI/安娜苏</x:v>
      </x:c>
      <x:c r="F122" s="9" t="str">
        <x:v>长裤</x:v>
      </x:c>
      <x:c r="G122" s="9" t="str">
        <x:v>训练／运动长裤</x:v>
      </x:c>
      <x:c r="H122" s="24" t="n">
        <x:v>1033.33</x:v>
      </x:c>
      <x:c r="I122" s="25" t="e">
        <x:f>HYPERLINK("https://item.taobao.com/item.htm?id=977650098334","打开商品")</x:f>
        <x:v>HYPERLINK is not implemented. linkLocation=https://item.taobao.com/item.htm?id=977650098334, friendlyName=打开商品</x:v>
      </x:c>
      <x:c r="J122" s="25" t="e">
        <x:f>HYPERLINK("https://data.zhiyitech.cn/itemDetail/overview/base?itemId=977650098334","打开知衣")</x:f>
        <x:v>HYPERLINK is not implemented. linkLocation=https://data.zhiyitech.cn/itemDetail/overview/base?itemId=977650098334, friendlyName=打开知衣</x:v>
      </x:c>
      <x:c r="K122" s="25" t="e">
        <x:f>HYPERLINK("https://img.alicdn.com/bao/uploaded/i4/2200697069868/O1CN01uG62l82MlbUjUIKWM_!!4611686018427380012-0-item_pic.jpg","查看主图")</x:f>
        <x:v>HYPERLINK is not implemented. linkLocation=https://img.alicdn.com/bao/uploaded/i4/2200697069868/O1CN01uG62l82MlbUjUIKWM_!!4611686018427380012-0-item_pic.jpg, friendlyName=查看主图</x:v>
      </x:c>
      <x:c r="L122" s="9" t="str">
        <x:v>无明确性别信息</x:v>
      </x:c>
      <x:c r="M122" s="9" t="str">
        <x:v>运动下装</x:v>
      </x:c>
      <x:c r="N122" s="9" t="str">
        <x:v>排行榜_商品榜_销售额榜_热销_运动服_休闲服装-运休闲服装-跑步短裤_2025-11-01_2026-10-31 (10).xlsx</x:v>
      </x:c>
      <x:c r="O122" s="9" t="str">
        <x:v>默认</x:v>
      </x:c>
      <x:c r="P122" s="9" t="n">
        <x:v>239</x:v>
      </x:c>
      <x:c r="Q122" s="9" t="str">
        <x:v>77c2723e3730f60e82908e61638dbb3700ba4d487e03331cf25303638bb2767e</x:v>
      </x:c>
      <x:c r="R122" s="9" t="str">
        <x:v>MIX_SPORT_AVGPAID_1000_1100_ANNUAL2026</x:v>
      </x:c>
      <x:c r="S122" s="9" t="str">
        <x:v>排行榜_商品榜_销售额榜_热销_运动服_休闲服装-运休闲服装-跑步短裤_2025-11-01_2026-10-31 (10).xlsx / 默认 / 第239行 / SHA256 77c2723e3730f60e82908e61638dbb3700ba4d487e03331cf25303638bb2767e</x:v>
      </x:c>
    </x:row>
    <x:row r="123" ht="58" customHeight="1">
      <x:c r="A123" s="23" t="str">
        <x:v>977655086045</x:v>
      </x:c>
      <x:c r="B123" s="22"/>
      <x:c r="C123" s="22"/>
      <x:c r="D123" s="9" t="str">
        <x:v>ANNA SUI安娜苏运动 Master大师 佩斯利微喇阔腿长裤针织毛裤秋冬</x:v>
      </x:c>
      <x:c r="E123" s="9" t="str">
        <x:v>ANNA SUI/安娜苏</x:v>
      </x:c>
      <x:c r="F123" s="9" t="str">
        <x:v>长裤</x:v>
      </x:c>
      <x:c r="G123" s="9" t="str">
        <x:v>训练／运动长裤</x:v>
      </x:c>
      <x:c r="H123" s="24" t="n">
        <x:v>1430.81</x:v>
      </x:c>
      <x:c r="I123" s="25" t="e">
        <x:f>HYPERLINK("https://item.taobao.com/item.htm?id=977655086045","打开商品")</x:f>
        <x:v>HYPERLINK is not implemented. linkLocation=https://item.taobao.com/item.htm?id=977655086045, friendlyName=打开商品</x:v>
      </x:c>
      <x:c r="J123" s="25" t="e">
        <x:f>HYPERLINK("https://data.zhiyitech.cn/itemDetail/overview/base?itemId=977655086045","打开知衣")</x:f>
        <x:v>HYPERLINK is not implemented. linkLocation=https://data.zhiyitech.cn/itemDetail/overview/base?itemId=977655086045, friendlyName=打开知衣</x:v>
      </x:c>
      <x:c r="K123" s="25" t="e">
        <x:f>HYPERLINK("https://img.alicdn.com/bao/uploaded/i1/2200697069868/O1CN0153oUnQ2MlbTPtiEr8_!!4611686018427380012-2-item_pic.png","查看主图")</x:f>
        <x:v>HYPERLINK is not implemented. linkLocation=https://img.alicdn.com/bao/uploaded/i1/2200697069868/O1CN0153oUnQ2MlbTPtiEr8_!!4611686018427380012-2-item_pic.png, friendlyName=查看主图</x:v>
      </x:c>
      <x:c r="L123" s="9" t="str">
        <x:v>无明确性别信息</x:v>
      </x:c>
      <x:c r="M123" s="9" t="str">
        <x:v>运动下装</x:v>
      </x:c>
      <x:c r="N123" s="9" t="str">
        <x:v>排行榜_商品榜_销售额榜_热销_运动服_休闲服装-运休闲服装-跑步短裤_2025-11-01_2026-10-31 (6).xlsx</x:v>
      </x:c>
      <x:c r="O123" s="9" t="str">
        <x:v>默认</x:v>
      </x:c>
      <x:c r="P123" s="9" t="n">
        <x:v>26</x:v>
      </x:c>
      <x:c r="Q123" s="9" t="str">
        <x:v>51c5baf852346f6326f6a242f8205ac9db74e4145a36be5e01e3352750e8cecc</x:v>
      </x:c>
      <x:c r="R123" s="9" t="str">
        <x:v>MIX_SPORT_AVGPAID_1400_1500_ANNUAL2026</x:v>
      </x:c>
      <x:c r="S123" s="9" t="str">
        <x:v>排行榜_商品榜_销售额榜_热销_运动服_休闲服装-运休闲服装-跑步短裤_2025-11-01_2026-10-31 (6).xlsx / 默认 / 第26行 / SHA256 51c5baf852346f6326f6a242f8205ac9db74e4145a36be5e01e3352750e8cecc</x:v>
      </x:c>
    </x:row>
    <x:row r="124" ht="58" customHeight="1">
      <x:c r="A124" s="23" t="str">
        <x:v>982744611579</x:v>
      </x:c>
      <x:c r="B124" s="22"/>
      <x:c r="C124" s="22"/>
      <x:c r="D124" s="9" t="str">
        <x:v>安娜苏运动轻暖加绒卫裤</x:v>
      </x:c>
      <x:c r="E124" s="9" t="str">
        <x:v>ANNA SUI/安娜苏</x:v>
      </x:c>
      <x:c r="F124" s="9" t="str">
        <x:v>长裤</x:v>
      </x:c>
      <x:c r="G124" s="9" t="str">
        <x:v>训练／运动长裤</x:v>
      </x:c>
      <x:c r="H124" s="24" t="n">
        <x:v>1244.93</x:v>
      </x:c>
      <x:c r="I124" s="25" t="e">
        <x:f>HYPERLINK("https://item.taobao.com/item.htm?id=982744611579","打开商品")</x:f>
        <x:v>HYPERLINK is not implemented. linkLocation=https://item.taobao.com/item.htm?id=982744611579, friendlyName=打开商品</x:v>
      </x:c>
      <x:c r="J124" s="25" t="e">
        <x:f>HYPERLINK("https://data.zhiyitech.cn/itemDetail/overview/base?itemId=982744611579","打开知衣")</x:f>
        <x:v>HYPERLINK is not implemented. linkLocation=https://data.zhiyitech.cn/itemDetail/overview/base?itemId=982744611579, friendlyName=打开知衣</x:v>
      </x:c>
      <x:c r="K124" s="25" t="e">
        <x:f>HYPERLINK("https://img.alicdn.com/bao/uploaded/i2/2200697069868/O1CN013P0JVz2MlbUw4C8Bj_!!4611686018427380012-0-item_pic.jpg","查看主图")</x:f>
        <x:v>HYPERLINK is not implemented. linkLocation=https://img.alicdn.com/bao/uploaded/i2/2200697069868/O1CN013P0JVz2MlbUw4C8Bj_!!4611686018427380012-0-item_pic.jpg, friendlyName=查看主图</x:v>
      </x:c>
      <x:c r="L124" s="9" t="str">
        <x:v>无明确性别信息</x:v>
      </x:c>
      <x:c r="M124" s="9" t="str">
        <x:v>运动下装</x:v>
      </x:c>
      <x:c r="N124" s="9" t="str">
        <x:v>排行榜_商品榜_销售额榜_热销_运动服_休闲服装-运休闲服装-跑步短裤_2025-11-01_2026-10-31 (8).xlsx</x:v>
      </x:c>
      <x:c r="O124" s="9" t="str">
        <x:v>默认</x:v>
      </x:c>
      <x:c r="P124" s="9" t="n">
        <x:v>79</x:v>
      </x:c>
      <x:c r="Q124" s="9" t="str">
        <x:v>188467edd382ec56460cb456b88a35e4bc41edeb6d84588a2971ef0bea45a429</x:v>
      </x:c>
      <x:c r="R124" s="9" t="str">
        <x:v>MIX_SPORT_AVGPAID_1200_1300_ANNUAL2026</x:v>
      </x:c>
      <x:c r="S124" s="9" t="str">
        <x:v>排行榜_商品榜_销售额榜_热销_运动服_休闲服装-运休闲服装-跑步短裤_2025-11-01_2026-10-31 (8).xlsx / 默认 / 第79行 / SHA256 188467edd382ec56460cb456b88a35e4bc41edeb6d84588a2971ef0bea45a429</x:v>
      </x:c>
    </x:row>
    <x:row r="125" ht="58" customHeight="1">
      <x:c r="A125" s="23" t="str">
        <x:v>983978417198</x:v>
      </x:c>
      <x:c r="B125" s="22"/>
      <x:c r="C125" s="22"/>
      <x:c r="D125" s="9" t="str">
        <x:v>ANNA SUI安娜苏运动 羊毛闪亮片宽松阔腿长裤休闲亲肤舒适套装</x:v>
      </x:c>
      <x:c r="E125" s="9" t="str">
        <x:v>ANNA SUI/安娜苏</x:v>
      </x:c>
      <x:c r="F125" s="9" t="str">
        <x:v>长裤</x:v>
      </x:c>
      <x:c r="G125" s="9" t="str">
        <x:v>训练／运动长裤</x:v>
      </x:c>
      <x:c r="H125" s="24" t="n">
        <x:v>1927.03</x:v>
      </x:c>
      <x:c r="I125" s="25" t="e">
        <x:f>HYPERLINK("https://item.taobao.com/item.htm?id=983978417198","打开商品")</x:f>
        <x:v>HYPERLINK is not implemented. linkLocation=https://item.taobao.com/item.htm?id=983978417198, friendlyName=打开商品</x:v>
      </x:c>
      <x:c r="J125" s="25" t="e">
        <x:f>HYPERLINK("https://data.zhiyitech.cn/itemDetail/overview/base?itemId=983978417198","打开知衣")</x:f>
        <x:v>HYPERLINK is not implemented. linkLocation=https://data.zhiyitech.cn/itemDetail/overview/base?itemId=983978417198, friendlyName=打开知衣</x:v>
      </x:c>
      <x:c r="K125" s="25" t="e">
        <x:f>HYPERLINK("https://img.alicdn.com/bao/uploaded/i1/2200697069868/O1CN01XzzLSw2MlbU0LPDuv_!!4611686018427380012-0-item_pic.jpg","查看主图")</x:f>
        <x:v>HYPERLINK is not implemented. linkLocation=https://img.alicdn.com/bao/uploaded/i1/2200697069868/O1CN01XzzLSw2MlbU0LPDuv_!!4611686018427380012-0-item_pic.jpg, friendlyName=查看主图</x:v>
      </x:c>
      <x:c r="L125" s="9" t="str">
        <x:v>无明确性别信息</x:v>
      </x:c>
      <x:c r="M125" s="9" t="str">
        <x:v>运动下装</x:v>
      </x:c>
      <x:c r="N125" s="9" t="str">
        <x:v>排行榜_商品榜_销售额榜_热销_运动服_休闲服装-运休闲服装-跑步短裤_2025-11-01_2026-10-31 (1).xlsx</x:v>
      </x:c>
      <x:c r="O125" s="9" t="str">
        <x:v>默认</x:v>
      </x:c>
      <x:c r="P125" s="9" t="n">
        <x:v>20</x:v>
      </x:c>
      <x:c r="Q125" s="9" t="str">
        <x:v>9d582a2a182ec48ec8a355657c0bf2d8e8f39ae4b7c96aaa441f0d48c6b3d994</x:v>
      </x:c>
      <x:c r="R125" s="9" t="str">
        <x:v>MIX_SPORT_AVGPAID_1900_2000_ANNUAL2026</x:v>
      </x:c>
      <x:c r="S125" s="9" t="str">
        <x:v>排行榜_商品榜_销售额榜_热销_运动服_休闲服装-运休闲服装-跑步短裤_2025-11-01_2026-10-31 (1).xlsx / 默认 / 第20行 / SHA256 9d582a2a182ec48ec8a355657c0bf2d8e8f39ae4b7c96aaa441f0d48c6b3d994</x:v>
      </x:c>
    </x:row>
    <x:row r="126" ht="58" customHeight="1">
      <x:c r="A126" s="23" t="str">
        <x:v>984026713539</x:v>
      </x:c>
      <x:c r="B126" s="22"/>
      <x:c r="C126" s="22"/>
      <x:c r="D126" s="9" t="str">
        <x:v>安娜苏运动竖纹坑条针织长裤</x:v>
      </x:c>
      <x:c r="E126" s="9" t="str">
        <x:v>ANNA SUI/安娜苏</x:v>
      </x:c>
      <x:c r="F126" s="9" t="str">
        <x:v>长裤</x:v>
      </x:c>
      <x:c r="G126" s="9" t="str">
        <x:v>训练／运动长裤</x:v>
      </x:c>
      <x:c r="H126" s="24" t="n">
        <x:v>1218.28</x:v>
      </x:c>
      <x:c r="I126" s="25" t="e">
        <x:f>HYPERLINK("https://item.taobao.com/item.htm?id=984026713539","打开商品")</x:f>
        <x:v>HYPERLINK is not implemented. linkLocation=https://item.taobao.com/item.htm?id=984026713539, friendlyName=打开商品</x:v>
      </x:c>
      <x:c r="J126" s="25" t="e">
        <x:f>HYPERLINK("https://data.zhiyitech.cn/itemDetail/overview/base?itemId=984026713539","打开知衣")</x:f>
        <x:v>HYPERLINK is not implemented. linkLocation=https://data.zhiyitech.cn/itemDetail/overview/base?itemId=984026713539, friendlyName=打开知衣</x:v>
      </x:c>
      <x:c r="K126" s="25" t="e">
        <x:f>HYPERLINK("https://img.alicdn.com/bao/uploaded/i1/2200697069868/O1CN015Ya7MV2MlbUjcetdZ_!!4611686018427380012-0-item_pic.jpg","查看主图")</x:f>
        <x:v>HYPERLINK is not implemented. linkLocation=https://img.alicdn.com/bao/uploaded/i1/2200697069868/O1CN015Ya7MV2MlbUjcetdZ_!!4611686018427380012-0-item_pic.jpg, friendlyName=查看主图</x:v>
      </x:c>
      <x:c r="L126" s="9" t="str">
        <x:v>无明确性别信息</x:v>
      </x:c>
      <x:c r="M126" s="9" t="str">
        <x:v>运动下装</x:v>
      </x:c>
      <x:c r="N126" s="9" t="str">
        <x:v>排行榜_商品榜_销售额榜_热销_运动服_休闲服装-运休闲服装-跑步短裤_2025-11-01_2026-10-31 (8).xlsx</x:v>
      </x:c>
      <x:c r="O126" s="9" t="str">
        <x:v>默认</x:v>
      </x:c>
      <x:c r="P126" s="9" t="n">
        <x:v>145</x:v>
      </x:c>
      <x:c r="Q126" s="9" t="str">
        <x:v>188467edd382ec56460cb456b88a35e4bc41edeb6d84588a2971ef0bea45a429</x:v>
      </x:c>
      <x:c r="R126" s="9" t="str">
        <x:v>MIX_SPORT_AVGPAID_1200_1300_ANNUAL2026</x:v>
      </x:c>
      <x:c r="S126" s="9" t="str">
        <x:v>排行榜_商品榜_销售额榜_热销_运动服_休闲服装-运休闲服装-跑步短裤_2025-11-01_2026-10-31 (8).xlsx / 默认 / 第145行 / SHA256 188467edd382ec56460cb456b88a35e4bc41edeb6d84588a2971ef0bea45a429</x:v>
      </x:c>
    </x:row>
    <x:row r="127" ht="58" customHeight="1">
      <x:c r="A127" s="23" t="str">
        <x:v>832370005615</x:v>
      </x:c>
      <x:c r="B127" s="22"/>
      <x:c r="C127" s="22"/>
      <x:c r="D127" s="9" t="str">
        <x:v>现货 始祖鸟ARCTERYX Cronin Pant 休闲攀岩速干宽松长裤 7700</x:v>
      </x:c>
      <x:c r="E127" s="9" t="str">
        <x:v>ARC‘TERYX/始祖鸟</x:v>
      </x:c>
      <x:c r="F127" s="9" t="str">
        <x:v>长裤</x:v>
      </x:c>
      <x:c r="G127" s="9" t="str">
        <x:v>户外速干长裤</x:v>
      </x:c>
      <x:c r="H127" s="24" t="n">
        <x:v>1500.6</x:v>
      </x:c>
      <x:c r="I127" s="25" t="e">
        <x:f>HYPERLINK("https://item.taobao.com/item.htm?id=832370005615","打开商品")</x:f>
        <x:v>HYPERLINK is not implemented. linkLocation=https://item.taobao.com/item.htm?id=832370005615, friendlyName=打开商品</x:v>
      </x:c>
      <x:c r="J127" s="25" t="e">
        <x:f>HYPERLINK("https://data.zhiyitech.cn/itemDetail/overview/base?itemId=832370005615","打开知衣")</x:f>
        <x:v>HYPERLINK is not implemented. linkLocation=https://data.zhiyitech.cn/itemDetail/overview/base?itemId=832370005615, friendlyName=打开知衣</x:v>
      </x:c>
      <x:c r="K127" s="25" t="e">
        <x:f>HYPERLINK("https://img.alicdn.com/imgextra/i3/10908954/O1CN01K45rTc2G0zMUfSkSa_!!10908954.jpg","查看主图")</x:f>
        <x:v>HYPERLINK is not implemented. linkLocation=https://img.alicdn.com/imgextra/i3/10908954/O1CN01K45rTc2G0zMUfSkSa_!!10908954.jpg, friendlyName=查看主图</x:v>
      </x:c>
      <x:c r="L127" s="9" t="str">
        <x:v>无明确性别信息</x:v>
      </x:c>
      <x:c r="M127" s="9" t="str">
        <x:v>户外裤装</x:v>
      </x:c>
      <x:c r="N127" s="9" t="str">
        <x:v>排行榜_商品榜_销售额榜_热销_户外_登山_野营_旅_旅行用品-软壳裤_2025-11-01_2026-10-31 (5).xlsx</x:v>
      </x:c>
      <x:c r="O127" s="9" t="str">
        <x:v>默认</x:v>
      </x:c>
      <x:c r="P127" s="9" t="n">
        <x:v>281</x:v>
      </x:c>
      <x:c r="Q127" s="9" t="str">
        <x:v>4ff895a590530d8c66eb373709fff6ff81b0c241ffcb4fe1355051b20d4b44e2</x:v>
      </x:c>
      <x:c r="R127" s="9" t="str">
        <x:v>MIX_OUTDOOR_AVGPAID_1500_1600_ANNUAL2026</x:v>
      </x:c>
      <x:c r="S127" s="9" t="str">
        <x:v>排行榜_商品榜_销售额榜_热销_户外_登山_野营_旅_旅行用品-软壳裤_2025-11-01_2026-10-31 (5).xlsx / 默认 / 第281行 / SHA256 4ff895a590530d8c66eb373709fff6ff81b0c241ffcb4fe1355051b20d4b44e2</x:v>
      </x:c>
    </x:row>
    <x:row r="128" ht="58" customHeight="1">
      <x:c r="A128" s="23" t="str">
        <x:v>883894966256</x:v>
      </x:c>
      <x:c r="B128" s="22"/>
      <x:c r="C128" s="22"/>
      <x:c r="D128" s="9" t="str">
        <x:v>菜鸟加拿大直邮始祖鸟Arcteryx KRAGG COTTON 休闲裤</x:v>
      </x:c>
      <x:c r="E128" s="9" t="str">
        <x:v>ARC‘TERYX/始祖鸟</x:v>
      </x:c>
      <x:c r="F128" s="9" t="str">
        <x:v>长裤</x:v>
      </x:c>
      <x:c r="G128" s="9" t="str">
        <x:v>训练／运动长裤</x:v>
      </x:c>
      <x:c r="H128" s="24" t="n">
        <x:v>1075.88</x:v>
      </x:c>
      <x:c r="I128" s="25" t="e">
        <x:f>HYPERLINK("https://item.taobao.com/item.htm?id=883894966256","打开商品")</x:f>
        <x:v>HYPERLINK is not implemented. linkLocation=https://item.taobao.com/item.htm?id=883894966256, friendlyName=打开商品</x:v>
      </x:c>
      <x:c r="J128" s="25" t="e">
        <x:f>HYPERLINK("https://data.zhiyitech.cn/itemDetail/overview/base?itemId=883894966256","打开知衣")</x:f>
        <x:v>HYPERLINK is not implemented. linkLocation=https://data.zhiyitech.cn/itemDetail/overview/base?itemId=883894966256, friendlyName=打开知衣</x:v>
      </x:c>
      <x:c r="K128" s="25" t="e">
        <x:f>HYPERLINK("https://img.alicdn.com/bao/uploaded/i3/2780478229/O1CN01brzeTs2AewLpHQq2t~crop,0,180,840,840~_!!2780478229.jpg","查看主图")</x:f>
        <x:v>HYPERLINK is not implemented. linkLocation=https://img.alicdn.com/bao/uploaded/i3/2780478229/O1CN01brzeTs2AewLpHQq2t~crop,0,180,840,840~_!!2780478229.jpg, friendlyName=查看主图</x:v>
      </x:c>
      <x:c r="L128" s="9" t="str">
        <x:v>无明确性别信息</x:v>
      </x:c>
      <x:c r="M128" s="9" t="str">
        <x:v>运动下装</x:v>
      </x:c>
      <x:c r="N128" s="9" t="str">
        <x:v>排行榜_商品榜_销售额榜_热销_运动服_休闲服装-运休闲服装-跑步短裤_2025-11-01_2026-10-31 (10).xlsx</x:v>
      </x:c>
      <x:c r="O128" s="9" t="str">
        <x:v>默认</x:v>
      </x:c>
      <x:c r="P128" s="9" t="n">
        <x:v>149</x:v>
      </x:c>
      <x:c r="Q128" s="9" t="str">
        <x:v>77c2723e3730f60e82908e61638dbb3700ba4d487e03331cf25303638bb2767e</x:v>
      </x:c>
      <x:c r="R128" s="9" t="str">
        <x:v>MIX_SPORT_AVGPAID_1000_1100_ANNUAL2026</x:v>
      </x:c>
      <x:c r="S128" s="9" t="str">
        <x:v>排行榜_商品榜_销售额榜_热销_运动服_休闲服装-运休闲服装-跑步短裤_2025-11-01_2026-10-31 (10).xlsx / 默认 / 第149行 / SHA256 77c2723e3730f60e82908e61638dbb3700ba4d487e03331cf25303638bb2767e</x:v>
      </x:c>
    </x:row>
    <x:row r="129" ht="58" customHeight="1">
      <x:c r="A129" s="23" t="str">
        <x:v>933450357606</x:v>
      </x:c>
      <x:c r="B129" s="22"/>
      <x:c r="C129" s="22"/>
      <x:c r="D129" s="9" t="str">
        <x:v>Arcteryx始祖鸟Incendo pant 户外徒步攀山尼龙松紧中腰直筒长裤</x:v>
      </x:c>
      <x:c r="E129" s="9" t="str">
        <x:v>ARC‘TERYX/始祖鸟</x:v>
      </x:c>
      <x:c r="F129" s="9" t="str">
        <x:v>长裤</x:v>
      </x:c>
      <x:c r="G129" s="9" t="str">
        <x:v>训练／运动长裤</x:v>
      </x:c>
      <x:c r="H129" s="24" t="n">
        <x:v>1199</x:v>
      </x:c>
      <x:c r="I129" s="25" t="e">
        <x:f>HYPERLINK("https://item.taobao.com/item.htm?id=933450357606","打开商品")</x:f>
        <x:v>HYPERLINK is not implemented. linkLocation=https://item.taobao.com/item.htm?id=933450357606, friendlyName=打开商品</x:v>
      </x:c>
      <x:c r="J129" s="25" t="e">
        <x:f>HYPERLINK("https://data.zhiyitech.cn/itemDetail/overview/base?itemId=933450357606","打开知衣")</x:f>
        <x:v>HYPERLINK is not implemented. linkLocation=https://data.zhiyitech.cn/itemDetail/overview/base?itemId=933450357606, friendlyName=打开知衣</x:v>
      </x:c>
      <x:c r="K129" s="25" t="e">
        <x:f>HYPERLINK("https://img.alicdn.com/bao/uploaded/i4/837063436/O1CN01UGn4oV1bFjwVJTzQh_!!837063436.jpg","查看主图")</x:f>
        <x:v>HYPERLINK is not implemented. linkLocation=https://img.alicdn.com/bao/uploaded/i4/837063436/O1CN01UGn4oV1bFjwVJTzQh_!!837063436.jpg, friendlyName=查看主图</x:v>
      </x:c>
      <x:c r="L129" s="9" t="str">
        <x:v>无明确性别信息</x:v>
      </x:c>
      <x:c r="M129" s="9" t="str">
        <x:v>运动下装</x:v>
      </x:c>
      <x:c r="N129" s="9" t="str">
        <x:v>排行榜_商品榜_销售额榜_热销_运动服_休闲服装-运休闲服装-跑步短裤_2025-11-01_2026-10-31 (9).xlsx</x:v>
      </x:c>
      <x:c r="O129" s="9" t="str">
        <x:v>默认</x:v>
      </x:c>
      <x:c r="P129" s="9" t="n">
        <x:v>292</x:v>
      </x:c>
      <x:c r="Q129" s="9" t="str">
        <x:v>bf4c13b761e645dc5b709fecfe2eba562c597469bada8d60d13514dd26d590ba</x:v>
      </x:c>
      <x:c r="R129" s="9" t="str">
        <x:v>MIX_SPORT_AVGPAID_1100_1200_ANNUAL2026</x:v>
      </x:c>
      <x:c r="S129" s="9" t="str">
        <x:v>排行榜_商品榜_销售额榜_热销_运动服_休闲服装-运休闲服装-跑步短裤_2025-11-01_2026-10-31 (9).xlsx / 默认 / 第292行 / SHA256 bf4c13b761e645dc5b709fecfe2eba562c597469bada8d60d13514dd26d590ba</x:v>
      </x:c>
    </x:row>
    <x:row r="130" ht="58" customHeight="1">
      <x:c r="A130" s="23" t="str">
        <x:v>965482107373</x:v>
      </x:c>
      <x:c r="B130" s="22"/>
      <x:c r="C130" s="22"/>
      <x:c r="D130" s="9" t="str">
        <x:v>正品始祖鸟LEUTIA软壳工装长裤</x:v>
      </x:c>
      <x:c r="E130" s="9" t="str">
        <x:v>ARC‘TERYX/始祖鸟</x:v>
      </x:c>
      <x:c r="F130" s="9" t="str">
        <x:v>长裤</x:v>
      </x:c>
      <x:c r="G130" s="9" t="str">
        <x:v>户外软壳长裤</x:v>
      </x:c>
      <x:c r="H130" s="24" t="n">
        <x:v>1888.26</x:v>
      </x:c>
      <x:c r="I130" s="25" t="e">
        <x:f>HYPERLINK("https://item.taobao.com/item.htm?id=965482107373","打开商品")</x:f>
        <x:v>HYPERLINK is not implemented. linkLocation=https://item.taobao.com/item.htm?id=965482107373, friendlyName=打开商品</x:v>
      </x:c>
      <x:c r="J130" s="25" t="e">
        <x:f>HYPERLINK("https://data.zhiyitech.cn/itemDetail/overview/base?itemId=965482107373","打开知衣")</x:f>
        <x:v>HYPERLINK is not implemented. linkLocation=https://data.zhiyitech.cn/itemDetail/overview/base?itemId=965482107373, friendlyName=打开知衣</x:v>
      </x:c>
      <x:c r="K130" s="25" t="e">
        <x:f>HYPERLINK("https://img.alicdn.com/bao/uploaded/i2/2207337661999/O1CN01YxMbBYbidiJ2vH2e_!!2207337661999.png","查看主图")</x:f>
        <x:v>HYPERLINK is not implemented. linkLocation=https://img.alicdn.com/bao/uploaded/i2/2207337661999/O1CN01YxMbBYbidiJ2vH2e_!!2207337661999.png, friendlyName=查看主图</x:v>
      </x:c>
      <x:c r="L130" s="9" t="str">
        <x:v>无明确性别信息</x:v>
      </x:c>
      <x:c r="M130" s="9" t="str">
        <x:v>户外裤装</x:v>
      </x:c>
      <x:c r="N130" s="9" t="str">
        <x:v>排行榜_商品榜_销售额榜_热销_户外_登山_野营_旅_旅行用品-软壳裤_2025-11-01_2026-10-31 (1).xlsx</x:v>
      </x:c>
      <x:c r="O130" s="9" t="str">
        <x:v>默认</x:v>
      </x:c>
      <x:c r="P130" s="9" t="n">
        <x:v>68</x:v>
      </x:c>
      <x:c r="Q130" s="9" t="str">
        <x:v>e7e6fe679f229180b03ba58b845a27b1d5b73066b376339de56c27dfe3421df2</x:v>
      </x:c>
      <x:c r="R130" s="9" t="str">
        <x:v>MIX_OUTDOOR_AVGPAID_1800_1900_ANNUAL2026</x:v>
      </x:c>
      <x:c r="S130" s="9" t="str">
        <x:v>排行榜_商品榜_销售额榜_热销_户外_登山_野营_旅_旅行用品-软壳裤_2025-11-01_2026-10-31 (1).xlsx / 默认 / 第68行 / SHA256 e7e6fe679f229180b03ba58b845a27b1d5b73066b376339de56c27dfe3421df2</x:v>
      </x:c>
    </x:row>
    <x:row r="131" ht="58" customHeight="1">
      <x:c r="A131" s="23" t="str">
        <x:v>983889701035</x:v>
      </x:c>
      <x:c r="B131" s="22"/>
      <x:c r="C131" s="22"/>
      <x:c r="D131" s="9" t="str">
        <x:v>正品始祖鸟秋冬款防风软壳长裤</x:v>
      </x:c>
      <x:c r="E131" s="9" t="str">
        <x:v>ARC‘TERYX/始祖鸟</x:v>
      </x:c>
      <x:c r="F131" s="9" t="str">
        <x:v>长裤</x:v>
      </x:c>
      <x:c r="G131" s="9" t="str">
        <x:v>户外软壳长裤</x:v>
      </x:c>
      <x:c r="H131" s="24" t="n">
        <x:v>1896.9</x:v>
      </x:c>
      <x:c r="I131" s="25" t="e">
        <x:f>HYPERLINK("https://item.taobao.com/item.htm?id=983889701035","打开商品")</x:f>
        <x:v>HYPERLINK is not implemented. linkLocation=https://item.taobao.com/item.htm?id=983889701035, friendlyName=打开商品</x:v>
      </x:c>
      <x:c r="J131" s="25" t="e">
        <x:f>HYPERLINK("https://data.zhiyitech.cn/itemDetail/overview/base?itemId=983889701035","打开知衣")</x:f>
        <x:v>HYPERLINK is not implemented. linkLocation=https://data.zhiyitech.cn/itemDetail/overview/base?itemId=983889701035, friendlyName=打开知衣</x:v>
      </x:c>
      <x:c r="K131" s="25" t="e">
        <x:f>HYPERLINK("https://img.alicdn.com/bao/uploaded/i4/2207337661999/O1CN011w9j8c1QdarHhpzTw_!!2207337661999.png","查看主图")</x:f>
        <x:v>HYPERLINK is not implemented. linkLocation=https://img.alicdn.com/bao/uploaded/i4/2207337661999/O1CN011w9j8c1QdarHhpzTw_!!2207337661999.png, friendlyName=查看主图</x:v>
      </x:c>
      <x:c r="L131" s="9" t="str">
        <x:v>无明确性别信息</x:v>
      </x:c>
      <x:c r="M131" s="9" t="str">
        <x:v>户外裤装</x:v>
      </x:c>
      <x:c r="N131" s="9" t="str">
        <x:v>排行榜_商品榜_销售额榜_热销_户外_登山_野营_旅_旅行用品-软壳裤_2025-11-01_2026-10-31 (1).xlsx</x:v>
      </x:c>
      <x:c r="O131" s="9" t="str">
        <x:v>默认</x:v>
      </x:c>
      <x:c r="P131" s="9" t="n">
        <x:v>67</x:v>
      </x:c>
      <x:c r="Q131" s="9" t="str">
        <x:v>e7e6fe679f229180b03ba58b845a27b1d5b73066b376339de56c27dfe3421df2</x:v>
      </x:c>
      <x:c r="R131" s="9" t="str">
        <x:v>MIX_OUTDOOR_AVGPAID_1800_1900_ANNUAL2026</x:v>
      </x:c>
      <x:c r="S131" s="9" t="str">
        <x:v>排行榜_商品榜_销售额榜_热销_户外_登山_野营_旅_旅行用品-软壳裤_2025-11-01_2026-10-31 (1).xlsx / 默认 / 第67行 / SHA256 e7e6fe679f229180b03ba58b845a27b1d5b73066b376339de56c27dfe3421df2</x:v>
      </x:c>
    </x:row>
    <x:row r="132" ht="58" customHeight="1">
      <x:c r="A132" s="23" t="str">
        <x:v>1046887256028</x:v>
      </x:c>
      <x:c r="B132" s="22"/>
      <x:c r="C132" s="22"/>
      <x:c r="D132" s="9" t="str">
        <x:v>beams日本代购~日本制 复古法式花卉图案长裤 5月下</x:v>
      </x:c>
      <x:c r="E132" s="9" t="str">
        <x:v>BEAMS</x:v>
      </x:c>
      <x:c r="F132" s="9" t="str">
        <x:v>长裤</x:v>
      </x:c>
      <x:c r="G132" s="9" t="str">
        <x:v>训练／运动长裤</x:v>
      </x:c>
      <x:c r="H132" s="24" t="n">
        <x:v>1235</x:v>
      </x:c>
      <x:c r="I132" s="25" t="e">
        <x:f>HYPERLINK("https://item.taobao.com/item.htm?id=1046887256028","打开商品")</x:f>
        <x:v>HYPERLINK is not implemented. linkLocation=https://item.taobao.com/item.htm?id=1046887256028, friendlyName=打开商品</x:v>
      </x:c>
      <x:c r="J132" s="25" t="e">
        <x:f>HYPERLINK("https://data.zhiyitech.cn/itemDetail/overview/base?itemId=1046887256028","打开知衣")</x:f>
        <x:v>HYPERLINK is not implemented. linkLocation=https://data.zhiyitech.cn/itemDetail/overview/base?itemId=1046887256028, friendlyName=打开知衣</x:v>
      </x:c>
      <x:c r="K132" s="25" t="e">
        <x:f>HYPERLINK("https://img.alicdn.com/bao/uploaded/i4/845925391/O1CN01bWp4WG1ph8KGxyheq~crop,125,0,750,1000~_!!845925391.jpg","查看主图")</x:f>
        <x:v>HYPERLINK is not implemented. linkLocation=https://img.alicdn.com/bao/uploaded/i4/845925391/O1CN01bWp4WG1ph8KGxyheq~crop,125,0,750,1000~_!!845925391.jpg, friendlyName=查看主图</x:v>
      </x:c>
      <x:c r="L132" s="9" t="str">
        <x:v>无明确性别信息</x:v>
      </x:c>
      <x:c r="M132" s="9" t="str">
        <x:v>运动下装</x:v>
      </x:c>
      <x:c r="N132" s="9" t="str">
        <x:v>排行榜_商品榜_销售额榜_热销_运动服_休闲服装-运休闲服装-跑步短裤_2025-11-01_2026-10-31 (8).xlsx</x:v>
      </x:c>
      <x:c r="O132" s="9" t="str">
        <x:v>默认</x:v>
      </x:c>
      <x:c r="P132" s="9" t="n">
        <x:v>309</x:v>
      </x:c>
      <x:c r="Q132" s="9" t="str">
        <x:v>188467edd382ec56460cb456b88a35e4bc41edeb6d84588a2971ef0bea45a429</x:v>
      </x:c>
      <x:c r="R132" s="9" t="str">
        <x:v>MIX_SPORT_AVGPAID_1200_1300_ANNUAL2026</x:v>
      </x:c>
      <x:c r="S132" s="9" t="str">
        <x:v>排行榜_商品榜_销售额榜_热销_运动服_休闲服装-运休闲服装-跑步短裤_2025-11-01_2026-10-31 (8).xlsx / 默认 / 第309行 / SHA256 188467edd382ec56460cb456b88a35e4bc41edeb6d84588a2971ef0bea45a429</x:v>
      </x:c>
    </x:row>
    <x:row r="133" ht="58" customHeight="1">
      <x:c r="A133" s="23" t="str">
        <x:v>983148469773</x:v>
      </x:c>
      <x:c r="B133" s="22"/>
      <x:c r="C133" s="22"/>
      <x:c r="D133" s="9" t="str">
        <x:v>compressport越野防风飓风长裤2.0</x:v>
      </x:c>
      <x:c r="E133" s="9" t="str">
        <x:v>COMPRESSPORT</x:v>
      </x:c>
      <x:c r="F133" s="9" t="str">
        <x:v>长裤</x:v>
      </x:c>
      <x:c r="G133" s="9" t="str">
        <x:v>跑步长裤</x:v>
      </x:c>
      <x:c r="H133" s="24" t="n">
        <x:v>1020.71</x:v>
      </x:c>
      <x:c r="I133" s="25" t="e">
        <x:f>HYPERLINK("https://item.taobao.com/item.htm?id=983148469773","打开商品")</x:f>
        <x:v>HYPERLINK is not implemented. linkLocation=https://item.taobao.com/item.htm?id=983148469773, friendlyName=打开商品</x:v>
      </x:c>
      <x:c r="J133" s="25" t="e">
        <x:f>HYPERLINK("https://data.zhiyitech.cn/itemDetail/overview/base?itemId=983148469773","打开知衣")</x:f>
        <x:v>HYPERLINK is not implemented. linkLocation=https://data.zhiyitech.cn/itemDetail/overview/base?itemId=983148469773, friendlyName=打开知衣</x:v>
      </x:c>
      <x:c r="K133" s="25" t="e">
        <x:f>HYPERLINK("https://img.alicdn.com/bao/uploaded/i4/2211909626390/O1CN01EqHxy61x4fxH8x7m5_!!4611686018427382294-0-item_pic.jpg","查看主图")</x:f>
        <x:v>HYPERLINK is not implemented. linkLocation=https://img.alicdn.com/bao/uploaded/i4/2211909626390/O1CN01EqHxy61x4fxH8x7m5_!!4611686018427382294-0-item_pic.jpg, friendlyName=查看主图</x:v>
      </x:c>
      <x:c r="L133" s="9" t="str">
        <x:v>无明确性别信息</x:v>
      </x:c>
      <x:c r="M133" s="9" t="str">
        <x:v>运动下装</x:v>
      </x:c>
      <x:c r="N133" s="9" t="str">
        <x:v>排行榜_商品榜_销售额榜_热销_运动服_休闲服装-运休闲服装-跑步短裤_2025-11-01_2026-10-31 (10).xlsx</x:v>
      </x:c>
      <x:c r="O133" s="9" t="str">
        <x:v>默认</x:v>
      </x:c>
      <x:c r="P133" s="9" t="n">
        <x:v>374</x:v>
      </x:c>
      <x:c r="Q133" s="9" t="str">
        <x:v>77c2723e3730f60e82908e61638dbb3700ba4d487e03331cf25303638bb2767e</x:v>
      </x:c>
      <x:c r="R133" s="9" t="str">
        <x:v>MIX_SPORT_AVGPAID_1000_1100_ANNUAL2026</x:v>
      </x:c>
      <x:c r="S133" s="9" t="str">
        <x:v>排行榜_商品榜_销售额榜_热销_运动服_休闲服装-运休闲服装-跑步短裤_2025-11-01_2026-10-31 (10).xlsx / 默认 / 第374行 / SHA256 77c2723e3730f60e82908e61638dbb3700ba4d487e03331cf25303638bb2767e</x:v>
      </x:c>
    </x:row>
    <x:row r="134" ht="58" customHeight="1">
      <x:c r="A134" s="23" t="str">
        <x:v>1012168991238</x:v>
      </x:c>
      <x:c r="B134" s="22"/>
      <x:c r="C134" s="22"/>
      <x:c r="D134" s="9" t="str">
        <x:v>DESCENTEBLANC迪桑特ALLTERRAIN 81系列SLIM版型弹力长裤CORDURA</x:v>
      </x:c>
      <x:c r="E134" s="9" t="str">
        <x:v>DESCENTE/迪桑特</x:v>
      </x:c>
      <x:c r="F134" s="9" t="str">
        <x:v>长裤</x:v>
      </x:c>
      <x:c r="G134" s="9" t="str">
        <x:v>训练／运动长裤</x:v>
      </x:c>
      <x:c r="H134" s="24" t="n">
        <x:v>1331.35</x:v>
      </x:c>
      <x:c r="I134" s="25" t="e">
        <x:f>HYPERLINK("https://item.taobao.com/item.htm?id=1012168991238","打开商品")</x:f>
        <x:v>HYPERLINK is not implemented. linkLocation=https://item.taobao.com/item.htm?id=1012168991238, friendlyName=打开商品</x:v>
      </x:c>
      <x:c r="J134" s="25" t="e">
        <x:f>HYPERLINK("https://data.zhiyitech.cn/itemDetail/overview/base?itemId=1012168991238","打开知衣")</x:f>
        <x:v>HYPERLINK is not implemented. linkLocation=https://data.zhiyitech.cn/itemDetail/overview/base?itemId=1012168991238, friendlyName=打开知衣</x:v>
      </x:c>
      <x:c r="K134" s="25" t="e">
        <x:f>HYPERLINK("https://img.alicdn.com/bao/uploaded/i4/2219286696309/O1CN01U5bvBx3EKQB43lmS_!!4611686018427384181-0-item_pic.jpg","查看主图")</x:f>
        <x:v>HYPERLINK is not implemented. linkLocation=https://img.alicdn.com/bao/uploaded/i4/2219286696309/O1CN01U5bvBx3EKQB43lmS_!!4611686018427384181-0-item_pic.jpg, friendlyName=查看主图</x:v>
      </x:c>
      <x:c r="L134" s="9" t="str">
        <x:v>无明确性别信息</x:v>
      </x:c>
      <x:c r="M134" s="9" t="str">
        <x:v>运动下装</x:v>
      </x:c>
      <x:c r="N134" s="9" t="str">
        <x:v>排行榜_商品榜_销售额榜_热销_运动服_休闲服装-运休闲服装-跑步短裤_2025-11-01_2026-10-31 (7).xlsx</x:v>
      </x:c>
      <x:c r="O134" s="9" t="str">
        <x:v>默认</x:v>
      </x:c>
      <x:c r="P134" s="9" t="n">
        <x:v>130</x:v>
      </x:c>
      <x:c r="Q134" s="9" t="str">
        <x:v>b4959cd74b14f4314b9473c91799b973e0b2ff209bedfdac04b6266e6a5d9ce9</x:v>
      </x:c>
      <x:c r="R134" s="9" t="str">
        <x:v>MIX_SPORT_AVGPAID_1300_1400_ANNUAL2026</x:v>
      </x:c>
      <x:c r="S134" s="9" t="str">
        <x:v>排行榜_商品榜_销售额榜_热销_运动服_休闲服装-运休闲服装-跑步短裤_2025-11-01_2026-10-31 (7).xlsx / 默认 / 第130行 / SHA256 b4959cd74b14f4314b9473c91799b973e0b2ff209bedfdac04b6266e6a5d9ce9</x:v>
      </x:c>
    </x:row>
    <x:row r="135" ht="58" customHeight="1">
      <x:c r="A135" s="23" t="str">
        <x:v>1014420508826</x:v>
      </x:c>
      <x:c r="B135" s="22"/>
      <x:c r="C135" s="22"/>
      <x:c r="D135" s="9" t="str">
        <x:v>DESCENTE迪桑特ALLTERRAIN I/O系列都市机能梭织长裤</x:v>
      </x:c>
      <x:c r="E135" s="9" t="str">
        <x:v>DESCENTE/迪桑特</x:v>
      </x:c>
      <x:c r="F135" s="9" t="str">
        <x:v>长裤</x:v>
      </x:c>
      <x:c r="G135" s="9" t="str">
        <x:v>训练／运动长裤</x:v>
      </x:c>
      <x:c r="H135" s="24" t="n">
        <x:v>1563.66</x:v>
      </x:c>
      <x:c r="I135" s="25" t="e">
        <x:f>HYPERLINK("https://item.taobao.com/item.htm?id=1014420508826","打开商品")</x:f>
        <x:v>HYPERLINK is not implemented. linkLocation=https://item.taobao.com/item.htm?id=1014420508826, friendlyName=打开商品</x:v>
      </x:c>
      <x:c r="J135" s="25" t="e">
        <x:f>HYPERLINK("https://data.zhiyitech.cn/itemDetail/overview/base?itemId=1014420508826","打开知衣")</x:f>
        <x:v>HYPERLINK is not implemented. linkLocation=https://data.zhiyitech.cn/itemDetail/overview/base?itemId=1014420508826, friendlyName=打开知衣</x:v>
      </x:c>
      <x:c r="K135" s="25" t="e">
        <x:f>HYPERLINK("https://img.alicdn.com/imgextra/i4/3299471109/O1CN01rVdZ1r1K3yM9pmdxP_!!4611686018427383557-0-item_pic.jpg","查看主图")</x:f>
        <x:v>HYPERLINK is not implemented. linkLocation=https://img.alicdn.com/imgextra/i4/3299471109/O1CN01rVdZ1r1K3yM9pmdxP_!!4611686018427383557-0-item_pic.jpg, friendlyName=查看主图</x:v>
      </x:c>
      <x:c r="L135" s="9" t="str">
        <x:v>无明确性别信息</x:v>
      </x:c>
      <x:c r="M135" s="9" t="str">
        <x:v>运动下装</x:v>
      </x:c>
      <x:c r="N135" s="9" t="str">
        <x:v>排行榜_商品榜_销售额榜_热销_运动服_休闲服装-运休闲服装-跑步短裤_2025-11-01_2026-10-31 (5).xlsx</x:v>
      </x:c>
      <x:c r="O135" s="9" t="str">
        <x:v>默认</x:v>
      </x:c>
      <x:c r="P135" s="9" t="n">
        <x:v>107</x:v>
      </x:c>
      <x:c r="Q135" s="9" t="str">
        <x:v>9ad7424665e3f8b592ed8cec3e99707eea5b9bd2316d324ab5977c56b4039ec9</x:v>
      </x:c>
      <x:c r="R135" s="9" t="str">
        <x:v>MIX_SPORT_AVGPAID_1500_1600_ANNUAL2026</x:v>
      </x:c>
      <x:c r="S135" s="9" t="str">
        <x:v>排行榜_商品榜_销售额榜_热销_运动服_休闲服装-运休闲服装-跑步短裤_2025-11-01_2026-10-31 (5).xlsx / 默认 / 第107行 / SHA256 9ad7424665e3f8b592ed8cec3e99707eea5b9bd2316d324ab5977c56b4039ec9</x:v>
      </x:c>
    </x:row>
    <x:row r="136" ht="58" customHeight="1">
      <x:c r="A136" s="23" t="str">
        <x:v>1014420508829</x:v>
      </x:c>
      <x:c r="B136" s="22"/>
      <x:c r="C136" s="22"/>
      <x:c r="D136" s="9" t="str">
        <x:v>DESCENTE迪桑特ALLTERRAIN 81系列轻户外SLIM版型长裤CORDURA</x:v>
      </x:c>
      <x:c r="E136" s="9" t="str">
        <x:v>DESCENTE/迪桑特</x:v>
      </x:c>
      <x:c r="F136" s="9" t="str">
        <x:v>长裤</x:v>
      </x:c>
      <x:c r="G136" s="9" t="str">
        <x:v>训练／运动长裤</x:v>
      </x:c>
      <x:c r="H136" s="24" t="n">
        <x:v>1338.04</x:v>
      </x:c>
      <x:c r="I136" s="25" t="e">
        <x:f>HYPERLINK("https://item.taobao.com/item.htm?id=1014420508829","打开商品")</x:f>
        <x:v>HYPERLINK is not implemented. linkLocation=https://item.taobao.com/item.htm?id=1014420508829, friendlyName=打开商品</x:v>
      </x:c>
      <x:c r="J136" s="25" t="e">
        <x:f>HYPERLINK("https://data.zhiyitech.cn/itemDetail/overview/base?itemId=1014420508829","打开知衣")</x:f>
        <x:v>HYPERLINK is not implemented. linkLocation=https://data.zhiyitech.cn/itemDetail/overview/base?itemId=1014420508829, friendlyName=打开知衣</x:v>
      </x:c>
      <x:c r="K136" s="25" t="e">
        <x:f>HYPERLINK("https://img.alicdn.com/bao/uploaded/i1/3299471109/O1CN01H9YGVf1K3yMMaQtHN_!!4611686018427383557-0-item_pic.jpg","查看主图")</x:f>
        <x:v>HYPERLINK is not implemented. linkLocation=https://img.alicdn.com/bao/uploaded/i1/3299471109/O1CN01H9YGVf1K3yMMaQtHN_!!4611686018427383557-0-item_pic.jpg, friendlyName=查看主图</x:v>
      </x:c>
      <x:c r="L136" s="9" t="str">
        <x:v>无明确性别信息</x:v>
      </x:c>
      <x:c r="M136" s="9" t="str">
        <x:v>运动下装</x:v>
      </x:c>
      <x:c r="N136" s="9" t="str">
        <x:v>排行榜_商品榜_销售额榜_热销_运动服_休闲服装-运休闲服装-跑步短裤_2025-11-01_2026-10-31 (7).xlsx</x:v>
      </x:c>
      <x:c r="O136" s="9" t="str">
        <x:v>默认</x:v>
      </x:c>
      <x:c r="P136" s="9" t="n">
        <x:v>57</x:v>
      </x:c>
      <x:c r="Q136" s="9" t="str">
        <x:v>b4959cd74b14f4314b9473c91799b973e0b2ff209bedfdac04b6266e6a5d9ce9</x:v>
      </x:c>
      <x:c r="R136" s="9" t="str">
        <x:v>MIX_SPORT_AVGPAID_1300_1400_ANNUAL2026</x:v>
      </x:c>
      <x:c r="S136" s="9" t="str">
        <x:v>排行榜_商品榜_销售额榜_热销_运动服_休闲服装-运休闲服装-跑步短裤_2025-11-01_2026-10-31 (7).xlsx / 默认 / 第57行 / SHA256 b4959cd74b14f4314b9473c91799b973e0b2ff209bedfdac04b6266e6a5d9ce9</x:v>
      </x:c>
    </x:row>
    <x:row r="137" ht="58" customHeight="1">
      <x:c r="A137" s="23" t="str">
        <x:v>1018144724412</x:v>
      </x:c>
      <x:c r="B137" s="22"/>
      <x:c r="C137" s="22"/>
      <x:c r="D137" s="9" t="str">
        <x:v>【李昊桐同款】迪桑特高尔夫 PRO系列弹力长裤春夏新品</x:v>
      </x:c>
      <x:c r="E137" s="9" t="str">
        <x:v>DESCENTE/迪桑特</x:v>
      </x:c>
      <x:c r="F137" s="9" t="str">
        <x:v>长裤</x:v>
      </x:c>
      <x:c r="G137" s="9" t="str">
        <x:v>训练／运动长裤</x:v>
      </x:c>
      <x:c r="H137" s="24" t="n">
        <x:v>1950.5</x:v>
      </x:c>
      <x:c r="I137" s="25" t="e">
        <x:f>HYPERLINK("https://item.taobao.com/item.htm?id=1018144724412","打开商品")</x:f>
        <x:v>HYPERLINK is not implemented. linkLocation=https://item.taobao.com/item.htm?id=1018144724412, friendlyName=打开商品</x:v>
      </x:c>
      <x:c r="J137" s="25" t="e">
        <x:f>HYPERLINK("https://data.zhiyitech.cn/itemDetail/overview/base?itemId=1018144724412","打开知衣")</x:f>
        <x:v>HYPERLINK is not implemented. linkLocation=https://data.zhiyitech.cn/itemDetail/overview/base?itemId=1018144724412, friendlyName=打开知衣</x:v>
      </x:c>
      <x:c r="K137" s="25" t="e">
        <x:f>HYPERLINK("https://img.alicdn.com/imgextra/i2/3299471109/O1CN01iiM8dpRJmHB43lmS_!!4611686018427383557-0-item_pic.jpg","查看主图")</x:f>
        <x:v>HYPERLINK is not implemented. linkLocation=https://img.alicdn.com/imgextra/i2/3299471109/O1CN01iiM8dpRJmHB43lmS_!!4611686018427383557-0-item_pic.jpg, friendlyName=查看主图</x:v>
      </x:c>
      <x:c r="L137" s="9" t="str">
        <x:v>无明确性别信息</x:v>
      </x:c>
      <x:c r="M137" s="9" t="str">
        <x:v>运动下装</x:v>
      </x:c>
      <x:c r="N137" s="9" t="str">
        <x:v>排行榜_商品榜_销售额榜_热销_运动服_休闲服装-运休闲服装-跑步短裤_2025-11-01_2026-10-31 (1).xlsx</x:v>
      </x:c>
      <x:c r="O137" s="9" t="str">
        <x:v>默认</x:v>
      </x:c>
      <x:c r="P137" s="9" t="n">
        <x:v>50</x:v>
      </x:c>
      <x:c r="Q137" s="9" t="str">
        <x:v>9d582a2a182ec48ec8a355657c0bf2d8e8f39ae4b7c96aaa441f0d48c6b3d994</x:v>
      </x:c>
      <x:c r="R137" s="9" t="str">
        <x:v>MIX_SPORT_AVGPAID_1900_2000_ANNUAL2026</x:v>
      </x:c>
      <x:c r="S137" s="9" t="str">
        <x:v>排行榜_商品榜_销售额榜_热销_运动服_休闲服装-运休闲服装-跑步短裤_2025-11-01_2026-10-31 (1).xlsx / 默认 / 第50行 / SHA256 9d582a2a182ec48ec8a355657c0bf2d8e8f39ae4b7c96aaa441f0d48c6b3d994</x:v>
      </x:c>
    </x:row>
    <x:row r="138" ht="58" customHeight="1">
      <x:c r="A138" s="23" t="str">
        <x:v>1024229839661</x:v>
      </x:c>
      <x:c r="B138" s="22"/>
      <x:c r="C138" s="22"/>
      <x:c r="D138" s="9" t="str">
        <x:v>DESCENTE迪桑特ALLTERRAIN 81系列轻户外宽松阔腿工装长裤</x:v>
      </x:c>
      <x:c r="E138" s="9" t="str">
        <x:v>DESCENTE/迪桑特</x:v>
      </x:c>
      <x:c r="F138" s="9" t="str">
        <x:v>长裤</x:v>
      </x:c>
      <x:c r="G138" s="9" t="str">
        <x:v>训练／运动长裤</x:v>
      </x:c>
      <x:c r="H138" s="24" t="n">
        <x:v>1730.98</x:v>
      </x:c>
      <x:c r="I138" s="25" t="e">
        <x:f>HYPERLINK("https://item.taobao.com/item.htm?id=1024229839661","打开商品")</x:f>
        <x:v>HYPERLINK is not implemented. linkLocation=https://item.taobao.com/item.htm?id=1024229839661, friendlyName=打开商品</x:v>
      </x:c>
      <x:c r="J138" s="25" t="e">
        <x:f>HYPERLINK("https://data.zhiyitech.cn/itemDetail/overview/base?itemId=1024229839661","打开知衣")</x:f>
        <x:v>HYPERLINK is not implemented. linkLocation=https://data.zhiyitech.cn/itemDetail/overview/base?itemId=1024229839661, friendlyName=打开知衣</x:v>
      </x:c>
      <x:c r="K138" s="25" t="e">
        <x:f>HYPERLINK("https://img.alicdn.com/bao/uploaded/i2/3299471109/O1CN016Z0Nng1K3yMUTMJ97_!!4611686018427383557-0-item_pic.jpg","查看主图")</x:f>
        <x:v>HYPERLINK is not implemented. linkLocation=https://img.alicdn.com/bao/uploaded/i2/3299471109/O1CN016Z0Nng1K3yMUTMJ97_!!4611686018427383557-0-item_pic.jpg, friendlyName=查看主图</x:v>
      </x:c>
      <x:c r="L138" s="9" t="str">
        <x:v>无明确性别信息</x:v>
      </x:c>
      <x:c r="M138" s="9" t="str">
        <x:v>运动下装</x:v>
      </x:c>
      <x:c r="N138" s="9" t="str">
        <x:v>排行榜_商品榜_销售额榜_热销_运动服_休闲服装-运休闲服装-跑步短裤_2025-11-01_2026-10-31 (3).xlsx</x:v>
      </x:c>
      <x:c r="O138" s="9" t="str">
        <x:v>默认</x:v>
      </x:c>
      <x:c r="P138" s="9" t="n">
        <x:v>10</x:v>
      </x:c>
      <x:c r="Q138" s="9" t="str">
        <x:v>75c32f8ec048c7ff6d1862fee5bc8a3793f270522255a1b54f34ebdea84168ec</x:v>
      </x:c>
      <x:c r="R138" s="9" t="str">
        <x:v>MIX_SPORT_AVGPAID_1700_1800_ANNUAL2026</x:v>
      </x:c>
      <x:c r="S138" s="9" t="str">
        <x:v>排行榜_商品榜_销售额榜_热销_运动服_休闲服装-运休闲服装-跑步短裤_2025-11-01_2026-10-31 (3).xlsx / 默认 / 第10行 / SHA256 75c32f8ec048c7ff6d1862fee5bc8a3793f270522255a1b54f34ebdea84168ec</x:v>
      </x:c>
    </x:row>
    <x:row r="139" ht="58" customHeight="1">
      <x:c r="A139" s="23" t="str">
        <x:v>1025800709003</x:v>
      </x:c>
      <x:c r="B139" s="22"/>
      <x:c r="C139" s="22"/>
      <x:c r="D139" s="9" t="str">
        <x:v>DESCENTE迪桑特ALLTERRAIN 81系列弹力工装长裤CORDURA</x:v>
      </x:c>
      <x:c r="E139" s="9" t="str">
        <x:v>DESCENTE/迪桑特</x:v>
      </x:c>
      <x:c r="F139" s="9" t="str">
        <x:v>长裤</x:v>
      </x:c>
      <x:c r="G139" s="9" t="str">
        <x:v>训练／运动长裤</x:v>
      </x:c>
      <x:c r="H139" s="24" t="n">
        <x:v>1790</x:v>
      </x:c>
      <x:c r="I139" s="25" t="e">
        <x:f>HYPERLINK("https://item.taobao.com/item.htm?id=1025800709003","打开商品")</x:f>
        <x:v>HYPERLINK is not implemented. linkLocation=https://item.taobao.com/item.htm?id=1025800709003, friendlyName=打开商品</x:v>
      </x:c>
      <x:c r="J139" s="25" t="e">
        <x:f>HYPERLINK("https://data.zhiyitech.cn/itemDetail/overview/base?itemId=1025800709003","打开知衣")</x:f>
        <x:v>HYPERLINK is not implemented. linkLocation=https://data.zhiyitech.cn/itemDetail/overview/base?itemId=1025800709003, friendlyName=打开知衣</x:v>
      </x:c>
      <x:c r="K139" s="25" t="e">
        <x:f>HYPERLINK("https://img.alicdn.com/bao/uploaded/i3/3299471109/O1CN01gScqFO1K3yMVFOU3H_!!4611686018427383557-0-item_pic.jpg","查看主图")</x:f>
        <x:v>HYPERLINK is not implemented. linkLocation=https://img.alicdn.com/bao/uploaded/i3/3299471109/O1CN01gScqFO1K3yMVFOU3H_!!4611686018427383557-0-item_pic.jpg, friendlyName=查看主图</x:v>
      </x:c>
      <x:c r="L139" s="9" t="str">
        <x:v>无明确性别信息</x:v>
      </x:c>
      <x:c r="M139" s="9" t="str">
        <x:v>运动下装</x:v>
      </x:c>
      <x:c r="N139" s="9" t="str">
        <x:v>排行榜_商品榜_销售额榜_热销_运动服_休闲服装-运休闲服装-跑步短裤_2025-11-01_2026-10-31 (3).xlsx</x:v>
      </x:c>
      <x:c r="O139" s="9" t="str">
        <x:v>默认</x:v>
      </x:c>
      <x:c r="P139" s="9" t="n">
        <x:v>62</x:v>
      </x:c>
      <x:c r="Q139" s="9" t="str">
        <x:v>75c32f8ec048c7ff6d1862fee5bc8a3793f270522255a1b54f34ebdea84168ec</x:v>
      </x:c>
      <x:c r="R139" s="9" t="str">
        <x:v>MIX_SPORT_AVGPAID_1700_1800_ANNUAL2026</x:v>
      </x:c>
      <x:c r="S139" s="9" t="str">
        <x:v>排行榜_商品榜_销售额榜_热销_运动服_休闲服装-运休闲服装-跑步短裤_2025-11-01_2026-10-31 (3).xlsx / 默认 / 第62行 / SHA256 75c32f8ec048c7ff6d1862fee5bc8a3793f270522255a1b54f34ebdea84168ec</x:v>
      </x:c>
    </x:row>
    <x:row r="140" ht="58" customHeight="1">
      <x:c r="A140" s="23" t="str">
        <x:v>1032965281673</x:v>
      </x:c>
      <x:c r="B140" s="22"/>
      <x:c r="C140" s="22"/>
      <x:c r="D140" s="9" t="str">
        <x:v>迪桑特高尔夫 PRO系列弹力长裤2026春夏新品G623MPPT32</x:v>
      </x:c>
      <x:c r="E140" s="9" t="str">
        <x:v>DESCENTE/迪桑特</x:v>
      </x:c>
      <x:c r="F140" s="9" t="str">
        <x:v>长裤</x:v>
      </x:c>
      <x:c r="G140" s="9" t="str">
        <x:v>训练／运动长裤</x:v>
      </x:c>
      <x:c r="H140" s="24" t="n">
        <x:v>1751.2</x:v>
      </x:c>
      <x:c r="I140" s="25" t="e">
        <x:f>HYPERLINK("https://item.taobao.com/item.htm?id=1032965281673","打开商品")</x:f>
        <x:v>HYPERLINK is not implemented. linkLocation=https://item.taobao.com/item.htm?id=1032965281673, friendlyName=打开商品</x:v>
      </x:c>
      <x:c r="J140" s="25" t="e">
        <x:f>HYPERLINK("https://data.zhiyitech.cn/itemDetail/overview/base?itemId=1032965281673","打开知衣")</x:f>
        <x:v>HYPERLINK is not implemented. linkLocation=https://data.zhiyitech.cn/itemDetail/overview/base?itemId=1032965281673, friendlyName=打开知衣</x:v>
      </x:c>
      <x:c r="K140" s="25" t="e">
        <x:f>HYPERLINK("https://img.alicdn.com/bao/uploaded/i4/3527582806/O1CN01pCSigJ1WbCUMgnLrM_!!3527582806.jpg","查看主图")</x:f>
        <x:v>HYPERLINK is not implemented. linkLocation=https://img.alicdn.com/bao/uploaded/i4/3527582806/O1CN01pCSigJ1WbCUMgnLrM_!!3527582806.jpg, friendlyName=查看主图</x:v>
      </x:c>
      <x:c r="L140" s="9" t="str">
        <x:v>无明确性别信息</x:v>
      </x:c>
      <x:c r="M140" s="9" t="str">
        <x:v>运动下装</x:v>
      </x:c>
      <x:c r="N140" s="9" t="str">
        <x:v>排行榜_商品榜_销售额榜_热销_运动服_休闲服装-运休闲服装-跑步短裤_2025-11-01_2026-10-31 (3).xlsx</x:v>
      </x:c>
      <x:c r="O140" s="9" t="str">
        <x:v>默认</x:v>
      </x:c>
      <x:c r="P140" s="9" t="n">
        <x:v>63</x:v>
      </x:c>
      <x:c r="Q140" s="9" t="str">
        <x:v>75c32f8ec048c7ff6d1862fee5bc8a3793f270522255a1b54f34ebdea84168ec</x:v>
      </x:c>
      <x:c r="R140" s="9" t="str">
        <x:v>MIX_SPORT_AVGPAID_1700_1800_ANNUAL2026</x:v>
      </x:c>
      <x:c r="S140" s="9" t="str">
        <x:v>排行榜_商品榜_销售额榜_热销_运动服_休闲服装-运休闲服装-跑步短裤_2025-11-01_2026-10-31 (3).xlsx / 默认 / 第63行 / SHA256 75c32f8ec048c7ff6d1862fee5bc8a3793f270522255a1b54f34ebdea84168ec</x:v>
      </x:c>
    </x:row>
    <x:row r="141" ht="58" customHeight="1">
      <x:c r="A141" s="23" t="str">
        <x:v>1037833675103</x:v>
      </x:c>
      <x:c r="B141" s="22"/>
      <x:c r="C141" s="22"/>
      <x:c r="D141" s="9" t="str">
        <x:v>DESCENTE迪桑特ALLTERRAIN 81系列常规版型可打包防泼水长裤</x:v>
      </x:c>
      <x:c r="E141" s="9" t="str">
        <x:v>DESCENTE/迪桑特</x:v>
      </x:c>
      <x:c r="F141" s="9" t="str">
        <x:v>长裤</x:v>
      </x:c>
      <x:c r="G141" s="9" t="str">
        <x:v>训练／运动长裤</x:v>
      </x:c>
      <x:c r="H141" s="24" t="n">
        <x:v>1520.42</x:v>
      </x:c>
      <x:c r="I141" s="25" t="e">
        <x:f>HYPERLINK("https://item.taobao.com/item.htm?id=1037833675103","打开商品")</x:f>
        <x:v>HYPERLINK is not implemented. linkLocation=https://item.taobao.com/item.htm?id=1037833675103, friendlyName=打开商品</x:v>
      </x:c>
      <x:c r="J141" s="25" t="e">
        <x:f>HYPERLINK("https://data.zhiyitech.cn/itemDetail/overview/base?itemId=1037833675103","打开知衣")</x:f>
        <x:v>HYPERLINK is not implemented. linkLocation=https://data.zhiyitech.cn/itemDetail/overview/base?itemId=1037833675103, friendlyName=打开知衣</x:v>
      </x:c>
      <x:c r="K141" s="25" t="e">
        <x:f>HYPERLINK("https://img.alicdn.com/bao/uploaded/i1/3299471109/O1CN01XUA6mK1K3yNcI0x4p_!!4611686018427383557-0-item_pic.jpg","查看主图")</x:f>
        <x:v>HYPERLINK is not implemented. linkLocation=https://img.alicdn.com/bao/uploaded/i1/3299471109/O1CN01XUA6mK1K3yNcI0x4p_!!4611686018427383557-0-item_pic.jpg, friendlyName=查看主图</x:v>
      </x:c>
      <x:c r="L141" s="9" t="str">
        <x:v>无明确性别信息</x:v>
      </x:c>
      <x:c r="M141" s="9" t="str">
        <x:v>运动下装</x:v>
      </x:c>
      <x:c r="N141" s="9" t="str">
        <x:v>排行榜_商品榜_销售额榜_热销_运动服_休闲服装-运休闲服装-跑步短裤_2025-11-01_2026-10-31 (5).xlsx</x:v>
      </x:c>
      <x:c r="O141" s="9" t="str">
        <x:v>默认</x:v>
      </x:c>
      <x:c r="P141" s="9" t="n">
        <x:v>44</x:v>
      </x:c>
      <x:c r="Q141" s="9" t="str">
        <x:v>9ad7424665e3f8b592ed8cec3e99707eea5b9bd2316d324ab5977c56b4039ec9</x:v>
      </x:c>
      <x:c r="R141" s="9" t="str">
        <x:v>MIX_SPORT_AVGPAID_1500_1600_ANNUAL2026</x:v>
      </x:c>
      <x:c r="S141" s="9" t="str">
        <x:v>排行榜_商品榜_销售额榜_热销_运动服_休闲服装-运休闲服装-跑步短裤_2025-11-01_2026-10-31 (5).xlsx / 默认 / 第44行 / SHA256 9ad7424665e3f8b592ed8cec3e99707eea5b9bd2316d324ab5977c56b4039ec9</x:v>
      </x:c>
    </x:row>
    <x:row r="142" ht="58" customHeight="1">
      <x:c r="A142" s="23" t="str">
        <x:v>1038549522525</x:v>
      </x:c>
      <x:c r="B142" s="22"/>
      <x:c r="C142" s="22"/>
      <x:c r="D142" s="9" t="str">
        <x:v>DESCENTE迪桑特ALLTERRAIN 81系列SLIM版型可打包防泼水长裤</x:v>
      </x:c>
      <x:c r="E142" s="9" t="str">
        <x:v>DESCENTE/迪桑特</x:v>
      </x:c>
      <x:c r="F142" s="9" t="str">
        <x:v>长裤</x:v>
      </x:c>
      <x:c r="G142" s="9" t="str">
        <x:v>训练／运动长裤</x:v>
      </x:c>
      <x:c r="H142" s="24" t="n">
        <x:v>1335.6</x:v>
      </x:c>
      <x:c r="I142" s="25" t="e">
        <x:f>HYPERLINK("https://item.taobao.com/item.htm?id=1038549522525","打开商品")</x:f>
        <x:v>HYPERLINK is not implemented. linkLocation=https://item.taobao.com/item.htm?id=1038549522525, friendlyName=打开商品</x:v>
      </x:c>
      <x:c r="J142" s="25" t="e">
        <x:f>HYPERLINK("https://data.zhiyitech.cn/itemDetail/overview/base?itemId=1038549522525","打开知衣")</x:f>
        <x:v>HYPERLINK is not implemented. linkLocation=https://data.zhiyitech.cn/itemDetail/overview/base?itemId=1038549522525, friendlyName=打开知衣</x:v>
      </x:c>
      <x:c r="K142" s="25" t="e">
        <x:f>HYPERLINK("https://img.alicdn.com/bao/uploaded/i2/3299471109/O1CN01pLUuHV1K3yNcHXD8R_!!4611686018427383557-0-item_pic.jpg","查看主图")</x:f>
        <x:v>HYPERLINK is not implemented. linkLocation=https://img.alicdn.com/bao/uploaded/i2/3299471109/O1CN01pLUuHV1K3yNcHXD8R_!!4611686018427383557-0-item_pic.jpg, friendlyName=查看主图</x:v>
      </x:c>
      <x:c r="L142" s="9" t="str">
        <x:v>无明确性别信息</x:v>
      </x:c>
      <x:c r="M142" s="9" t="str">
        <x:v>运动下装</x:v>
      </x:c>
      <x:c r="N142" s="9" t="str">
        <x:v>排行榜_商品榜_销售额榜_热销_运动服_休闲服装-运休闲服装-跑步短裤_2025-11-01_2026-10-31 (7).xlsx</x:v>
      </x:c>
      <x:c r="O142" s="9" t="str">
        <x:v>默认</x:v>
      </x:c>
      <x:c r="P142" s="9" t="n">
        <x:v>27</x:v>
      </x:c>
      <x:c r="Q142" s="9" t="str">
        <x:v>b4959cd74b14f4314b9473c91799b973e0b2ff209bedfdac04b6266e6a5d9ce9</x:v>
      </x:c>
      <x:c r="R142" s="9" t="str">
        <x:v>MIX_SPORT_AVGPAID_1300_1400_ANNUAL2026</x:v>
      </x:c>
      <x:c r="S142" s="9" t="str">
        <x:v>排行榜_商品榜_销售额榜_热销_运动服_休闲服装-运休闲服装-跑步短裤_2025-11-01_2026-10-31 (7).xlsx / 默认 / 第27行 / SHA256 b4959cd74b14f4314b9473c91799b973e0b2ff209bedfdac04b6266e6a5d9ce9</x:v>
      </x:c>
    </x:row>
    <x:row r="143" ht="58" customHeight="1">
      <x:c r="A143" s="23" t="str">
        <x:v>1038549914588</x:v>
      </x:c>
      <x:c r="B143" s="22"/>
      <x:c r="C143" s="22"/>
      <x:c r="D143" s="9" t="str">
        <x:v>DESCENTEBLANC迪桑特ALLTERRAIN 81系列SLIM版型可打包防泼水长裤</x:v>
      </x:c>
      <x:c r="E143" s="9" t="str">
        <x:v>DESCENTE/迪桑特</x:v>
      </x:c>
      <x:c r="F143" s="9" t="str">
        <x:v>长裤</x:v>
      </x:c>
      <x:c r="G143" s="9" t="str">
        <x:v>训练／运动长裤</x:v>
      </x:c>
      <x:c r="H143" s="24" t="n">
        <x:v>1335.21</x:v>
      </x:c>
      <x:c r="I143" s="25" t="e">
        <x:f>HYPERLINK("https://item.taobao.com/item.htm?id=1038549914588","打开商品")</x:f>
        <x:v>HYPERLINK is not implemented. linkLocation=https://item.taobao.com/item.htm?id=1038549914588, friendlyName=打开商品</x:v>
      </x:c>
      <x:c r="J143" s="25" t="e">
        <x:f>HYPERLINK("https://data.zhiyitech.cn/itemDetail/overview/base?itemId=1038549914588","打开知衣")</x:f>
        <x:v>HYPERLINK is not implemented. linkLocation=https://data.zhiyitech.cn/itemDetail/overview/base?itemId=1038549914588, friendlyName=打开知衣</x:v>
      </x:c>
      <x:c r="K143" s="25" t="e">
        <x:f>HYPERLINK("https://img.alicdn.com/bao/uploaded/i1/2219286696309/O1CN01yzDZFY1wTZvtOIZYU_!!4611686018427384181-0-item_pic.jpg","查看主图")</x:f>
        <x:v>HYPERLINK is not implemented. linkLocation=https://img.alicdn.com/bao/uploaded/i1/2219286696309/O1CN01yzDZFY1wTZvtOIZYU_!!4611686018427384181-0-item_pic.jpg, friendlyName=查看主图</x:v>
      </x:c>
      <x:c r="L143" s="9" t="str">
        <x:v>无明确性别信息</x:v>
      </x:c>
      <x:c r="M143" s="9" t="str">
        <x:v>运动下装</x:v>
      </x:c>
      <x:c r="N143" s="9" t="str">
        <x:v>排行榜_商品榜_销售额榜_热销_运动服_休闲服装-运休闲服装-跑步短裤_2025-11-01_2026-10-31 (7).xlsx</x:v>
      </x:c>
      <x:c r="O143" s="9" t="str">
        <x:v>默认</x:v>
      </x:c>
      <x:c r="P143" s="9" t="n">
        <x:v>81</x:v>
      </x:c>
      <x:c r="Q143" s="9" t="str">
        <x:v>b4959cd74b14f4314b9473c91799b973e0b2ff209bedfdac04b6266e6a5d9ce9</x:v>
      </x:c>
      <x:c r="R143" s="9" t="str">
        <x:v>MIX_SPORT_AVGPAID_1300_1400_ANNUAL2026</x:v>
      </x:c>
      <x:c r="S143" s="9" t="str">
        <x:v>排行榜_商品榜_销售额榜_热销_运动服_休闲服装-运休闲服装-跑步短裤_2025-11-01_2026-10-31 (7).xlsx / 默认 / 第81行 / SHA256 b4959cd74b14f4314b9473c91799b973e0b2ff209bedfdac04b6266e6a5d9ce9</x:v>
      </x:c>
    </x:row>
    <x:row r="144" ht="58" customHeight="1">
      <x:c r="A144" s="23" t="str">
        <x:v>1041228165626</x:v>
      </x:c>
      <x:c r="B144" s="22"/>
      <x:c r="C144" s="22"/>
      <x:c r="D144" s="9" t="str">
        <x:v>【李昊桐同款】迪桑特高尔夫 PRO系列 长裤早秋新品</x:v>
      </x:c>
      <x:c r="E144" s="9" t="str">
        <x:v>DESCENTE/迪桑特</x:v>
      </x:c>
      <x:c r="F144" s="9" t="str">
        <x:v>长裤</x:v>
      </x:c>
      <x:c r="G144" s="9" t="str">
        <x:v>训练／运动长裤</x:v>
      </x:c>
      <x:c r="H144" s="24" t="n">
        <x:v>1965.69</x:v>
      </x:c>
      <x:c r="I144" s="25" t="e">
        <x:f>HYPERLINK("https://item.taobao.com/item.htm?id=1041228165626","打开商品")</x:f>
        <x:v>HYPERLINK is not implemented. linkLocation=https://item.taobao.com/item.htm?id=1041228165626, friendlyName=打开商品</x:v>
      </x:c>
      <x:c r="J144" s="25" t="e">
        <x:f>HYPERLINK("https://data.zhiyitech.cn/itemDetail/overview/base?itemId=1041228165626","打开知衣")</x:f>
        <x:v>HYPERLINK is not implemented. linkLocation=https://data.zhiyitech.cn/itemDetail/overview/base?itemId=1041228165626, friendlyName=打开知衣</x:v>
      </x:c>
      <x:c r="K144" s="25" t="e">
        <x:f>HYPERLINK("https://img.alicdn.com/bao/uploaded/i3/3299471109/O1CN01DQWcKeaXflC43lmS_!!4611686018427383557-0-item_pic.jpg","查看主图")</x:f>
        <x:v>HYPERLINK is not implemented. linkLocation=https://img.alicdn.com/bao/uploaded/i3/3299471109/O1CN01DQWcKeaXflC43lmS_!!4611686018427383557-0-item_pic.jpg, friendlyName=查看主图</x:v>
      </x:c>
      <x:c r="L144" s="9" t="str">
        <x:v>无明确性别信息</x:v>
      </x:c>
      <x:c r="M144" s="9" t="str">
        <x:v>运动下装</x:v>
      </x:c>
      <x:c r="N144" s="9" t="str">
        <x:v>排行榜_商品榜_销售额榜_热销_运动服_休闲服装-运休闲服装-跑步短裤_2025-11-01_2026-10-31 (1).xlsx</x:v>
      </x:c>
      <x:c r="O144" s="9" t="str">
        <x:v>默认</x:v>
      </x:c>
      <x:c r="P144" s="9" t="n">
        <x:v>28</x:v>
      </x:c>
      <x:c r="Q144" s="9" t="str">
        <x:v>9d582a2a182ec48ec8a355657c0bf2d8e8f39ae4b7c96aaa441f0d48c6b3d994</x:v>
      </x:c>
      <x:c r="R144" s="9" t="str">
        <x:v>MIX_SPORT_AVGPAID_1900_2000_ANNUAL2026</x:v>
      </x:c>
      <x:c r="S144" s="9" t="str">
        <x:v>排行榜_商品榜_销售额榜_热销_运动服_休闲服装-运休闲服装-跑步短裤_2025-11-01_2026-10-31 (1).xlsx / 默认 / 第28行 / SHA256 9d582a2a182ec48ec8a355657c0bf2d8e8f39ae4b7c96aaa441f0d48c6b3d994</x:v>
      </x:c>
    </x:row>
    <x:row r="145" ht="58" customHeight="1">
      <x:c r="A145" s="23" t="str">
        <x:v>1054940135761</x:v>
      </x:c>
      <x:c r="B145" s="22"/>
      <x:c r="C145" s="22"/>
      <x:c r="D145" s="9" t="str">
        <x:v>DESCENTEBLANC迪桑特ALLTERRAIN 81系列轻量工装梭织长裤</x:v>
      </x:c>
      <x:c r="E145" s="9" t="str">
        <x:v>DESCENTE/迪桑特</x:v>
      </x:c>
      <x:c r="F145" s="9" t="str">
        <x:v>长裤</x:v>
      </x:c>
      <x:c r="G145" s="9" t="str">
        <x:v>训练／运动长裤</x:v>
      </x:c>
      <x:c r="H145" s="24" t="n">
        <x:v>1345.18</x:v>
      </x:c>
      <x:c r="I145" s="25" t="e">
        <x:f>HYPERLINK("https://item.taobao.com/item.htm?id=1054940135761","打开商品")</x:f>
        <x:v>HYPERLINK is not implemented. linkLocation=https://item.taobao.com/item.htm?id=1054940135761, friendlyName=打开商品</x:v>
      </x:c>
      <x:c r="J145" s="25" t="e">
        <x:f>HYPERLINK("https://data.zhiyitech.cn/itemDetail/overview/base?itemId=1054940135761","打开知衣")</x:f>
        <x:v>HYPERLINK is not implemented. linkLocation=https://data.zhiyitech.cn/itemDetail/overview/base?itemId=1054940135761, friendlyName=打开知衣</x:v>
      </x:c>
      <x:c r="K145" s="25" t="e">
        <x:f>HYPERLINK("https://img.alicdn.com/bao/uploaded/i1/2219286696309/O1CN01brc3Iro0ipE43lmS_!!4611686018427384181-0-item_pic.jpg","查看主图")</x:f>
        <x:v>HYPERLINK is not implemented. linkLocation=https://img.alicdn.com/bao/uploaded/i1/2219286696309/O1CN01brc3Iro0ipE43lmS_!!4611686018427384181-0-item_pic.jpg, friendlyName=查看主图</x:v>
      </x:c>
      <x:c r="L145" s="9" t="str">
        <x:v>无明确性别信息</x:v>
      </x:c>
      <x:c r="M145" s="9" t="str">
        <x:v>运动下装</x:v>
      </x:c>
      <x:c r="N145" s="9" t="str">
        <x:v>排行榜_商品榜_销售额榜_热销_运动服_休闲服装-运休闲服装-跑步短裤_2025-11-01_2026-10-31 (7).xlsx</x:v>
      </x:c>
      <x:c r="O145" s="9" t="str">
        <x:v>默认</x:v>
      </x:c>
      <x:c r="P145" s="9" t="n">
        <x:v>99</x:v>
      </x:c>
      <x:c r="Q145" s="9" t="str">
        <x:v>b4959cd74b14f4314b9473c91799b973e0b2ff209bedfdac04b6266e6a5d9ce9</x:v>
      </x:c>
      <x:c r="R145" s="9" t="str">
        <x:v>MIX_SPORT_AVGPAID_1300_1400_ANNUAL2026</x:v>
      </x:c>
      <x:c r="S145" s="9" t="str">
        <x:v>排行榜_商品榜_销售额榜_热销_运动服_休闲服装-运休闲服装-跑步短裤_2025-11-01_2026-10-31 (7).xlsx / 默认 / 第99行 / SHA256 b4959cd74b14f4314b9473c91799b973e0b2ff209bedfdac04b6266e6a5d9ce9</x:v>
      </x:c>
    </x:row>
    <x:row r="146" ht="58" customHeight="1">
      <x:c r="A146" s="23" t="str">
        <x:v>1055834190688</x:v>
      </x:c>
      <x:c r="B146" s="22"/>
      <x:c r="C146" s="22"/>
      <x:c r="D146" s="9" t="str">
        <x:v>DESCENTE迪桑特ALLTERRAIN 81系列轻量工装梭织长裤</x:v>
      </x:c>
      <x:c r="E146" s="9" t="str">
        <x:v>DESCENTE/迪桑特</x:v>
      </x:c>
      <x:c r="F146" s="9" t="str">
        <x:v>长裤</x:v>
      </x:c>
      <x:c r="G146" s="9" t="str">
        <x:v>训练／运动长裤</x:v>
      </x:c>
      <x:c r="H146" s="24" t="n">
        <x:v>1357.85</x:v>
      </x:c>
      <x:c r="I146" s="25" t="e">
        <x:f>HYPERLINK("https://item.taobao.com/item.htm?id=1055834190688","打开商品")</x:f>
        <x:v>HYPERLINK is not implemented. linkLocation=https://item.taobao.com/item.htm?id=1055834190688, friendlyName=打开商品</x:v>
      </x:c>
      <x:c r="J146" s="25" t="e">
        <x:f>HYPERLINK("https://data.zhiyitech.cn/itemDetail/overview/base?itemId=1055834190688","打开知衣")</x:f>
        <x:v>HYPERLINK is not implemented. linkLocation=https://data.zhiyitech.cn/itemDetail/overview/base?itemId=1055834190688, friendlyName=打开知衣</x:v>
      </x:c>
      <x:c r="K146" s="25" t="e">
        <x:f>HYPERLINK("https://img.alicdn.com/bao/uploaded/i1/3299471109/O1CN01YLghrv4DofB43lmS_!!4611686018427383557-0-item_pic.jpg","查看主图")</x:f>
        <x:v>HYPERLINK is not implemented. linkLocation=https://img.alicdn.com/bao/uploaded/i1/3299471109/O1CN01YLghrv4DofB43lmS_!!4611686018427383557-0-item_pic.jpg, friendlyName=查看主图</x:v>
      </x:c>
      <x:c r="L146" s="9" t="str">
        <x:v>无明确性别信息</x:v>
      </x:c>
      <x:c r="M146" s="9" t="str">
        <x:v>运动下装</x:v>
      </x:c>
      <x:c r="N146" s="9" t="str">
        <x:v>排行榜_商品榜_销售额榜_热销_运动服_休闲服装-运休闲服装-跑步短裤_2025-11-01_2026-10-31 (7).xlsx</x:v>
      </x:c>
      <x:c r="O146" s="9" t="str">
        <x:v>默认</x:v>
      </x:c>
      <x:c r="P146" s="9" t="n">
        <x:v>101</x:v>
      </x:c>
      <x:c r="Q146" s="9" t="str">
        <x:v>b4959cd74b14f4314b9473c91799b973e0b2ff209bedfdac04b6266e6a5d9ce9</x:v>
      </x:c>
      <x:c r="R146" s="9" t="str">
        <x:v>MIX_SPORT_AVGPAID_1300_1400_ANNUAL2026</x:v>
      </x:c>
      <x:c r="S146" s="9" t="str">
        <x:v>排行榜_商品榜_销售额榜_热销_运动服_休闲服装-运休闲服装-跑步短裤_2025-11-01_2026-10-31 (7).xlsx / 默认 / 第101行 / SHA256 b4959cd74b14f4314b9473c91799b973e0b2ff209bedfdac04b6266e6a5d9ce9</x:v>
      </x:c>
    </x:row>
    <x:row r="147" ht="58" customHeight="1">
      <x:c r="A147" s="23" t="str">
        <x:v>1068659547454</x:v>
      </x:c>
      <x:c r="B147" s="22"/>
      <x:c r="C147" s="22"/>
      <x:c r="D147" s="9" t="str">
        <x:v>【秋冬】DESCENTEBLANC迪桑特ALLTERRAIN 81宽版CORDURA轻量长裤</x:v>
      </x:c>
      <x:c r="E147" s="9" t="str">
        <x:v>DESCENTE/迪桑特</x:v>
      </x:c>
      <x:c r="F147" s="9" t="str">
        <x:v>长裤</x:v>
      </x:c>
      <x:c r="G147" s="9" t="str">
        <x:v>训练／运动长裤</x:v>
      </x:c>
      <x:c r="H147" s="24" t="n">
        <x:v>1554.09</x:v>
      </x:c>
      <x:c r="I147" s="25" t="e">
        <x:f>HYPERLINK("https://item.taobao.com/item.htm?id=1068659547454","打开商品")</x:f>
        <x:v>HYPERLINK is not implemented. linkLocation=https://item.taobao.com/item.htm?id=1068659547454, friendlyName=打开商品</x:v>
      </x:c>
      <x:c r="J147" s="25" t="e">
        <x:f>HYPERLINK("https://data.zhiyitech.cn/itemDetail/overview/base?itemId=1068659547454","打开知衣")</x:f>
        <x:v>HYPERLINK is not implemented. linkLocation=https://data.zhiyitech.cn/itemDetail/overview/base?itemId=1068659547454, friendlyName=打开知衣</x:v>
      </x:c>
      <x:c r="K147" s="25" t="e">
        <x:f>HYPERLINK("https://img.alicdn.com/bao/uploaded/i3/2219286696309/O1CN017c0DFLBAtOD43lmS_!!4611686018427384181-0-item_pic.jpg","查看主图")</x:f>
        <x:v>HYPERLINK is not implemented. linkLocation=https://img.alicdn.com/bao/uploaded/i3/2219286696309/O1CN017c0DFLBAtOD43lmS_!!4611686018427384181-0-item_pic.jpg, friendlyName=查看主图</x:v>
      </x:c>
      <x:c r="L147" s="9" t="str">
        <x:v>无明确性别信息</x:v>
      </x:c>
      <x:c r="M147" s="9" t="str">
        <x:v>运动下装</x:v>
      </x:c>
      <x:c r="N147" s="9" t="str">
        <x:v>排行榜_商品榜_销售额榜_热销_运动服_休闲服装-运休闲服装-跑步短裤_2025-11-01_2026-10-31 (5).xlsx</x:v>
      </x:c>
      <x:c r="O147" s="9" t="str">
        <x:v>默认</x:v>
      </x:c>
      <x:c r="P147" s="9" t="n">
        <x:v>74</x:v>
      </x:c>
      <x:c r="Q147" s="9" t="str">
        <x:v>9ad7424665e3f8b592ed8cec3e99707eea5b9bd2316d324ab5977c56b4039ec9</x:v>
      </x:c>
      <x:c r="R147" s="9" t="str">
        <x:v>MIX_SPORT_AVGPAID_1500_1600_ANNUAL2026</x:v>
      </x:c>
      <x:c r="S147" s="9" t="str">
        <x:v>排行榜_商品榜_销售额榜_热销_运动服_休闲服装-运休闲服装-跑步短裤_2025-11-01_2026-10-31 (5).xlsx / 默认 / 第74行 / SHA256 9ad7424665e3f8b592ed8cec3e99707eea5b9bd2316d324ab5977c56b4039ec9</x:v>
      </x:c>
    </x:row>
    <x:row r="148" ht="58" customHeight="1">
      <x:c r="A148" s="23" t="str">
        <x:v>1069120293537</x:v>
      </x:c>
      <x:c r="B148" s="22"/>
      <x:c r="C148" s="22"/>
      <x:c r="D148" s="9" t="str">
        <x:v>【秋冬】DESCENTEBLANC迪桑特ALLTERRAIN I/O系列轻盈透气长裤</x:v>
      </x:c>
      <x:c r="E148" s="9" t="str">
        <x:v>DESCENTE/迪桑特</x:v>
      </x:c>
      <x:c r="F148" s="9" t="str">
        <x:v>长裤</x:v>
      </x:c>
      <x:c r="G148" s="9" t="str">
        <x:v>训练／运动长裤</x:v>
      </x:c>
      <x:c r="H148" s="24" t="n">
        <x:v>1534.89</x:v>
      </x:c>
      <x:c r="I148" s="25" t="e">
        <x:f>HYPERLINK("https://item.taobao.com/item.htm?id=1069120293537","打开商品")</x:f>
        <x:v>HYPERLINK is not implemented. linkLocation=https://item.taobao.com/item.htm?id=1069120293537, friendlyName=打开商品</x:v>
      </x:c>
      <x:c r="J148" s="25" t="e">
        <x:f>HYPERLINK("https://data.zhiyitech.cn/itemDetail/overview/base?itemId=1069120293537","打开知衣")</x:f>
        <x:v>HYPERLINK is not implemented. linkLocation=https://data.zhiyitech.cn/itemDetail/overview/base?itemId=1069120293537, friendlyName=打开知衣</x:v>
      </x:c>
      <x:c r="K148" s="25" t="e">
        <x:f>HYPERLINK("https://img.alicdn.com/bao/uploaded/i3/2219286696309/O1CN01GGwPOQksfGG43lmS_!!4611686018427384181-0-item_pic.jpg","查看主图")</x:f>
        <x:v>HYPERLINK is not implemented. linkLocation=https://img.alicdn.com/bao/uploaded/i3/2219286696309/O1CN01GGwPOQksfGG43lmS_!!4611686018427384181-0-item_pic.jpg, friendlyName=查看主图</x:v>
      </x:c>
      <x:c r="L148" s="9" t="str">
        <x:v>无明确性别信息</x:v>
      </x:c>
      <x:c r="M148" s="9" t="str">
        <x:v>运动下装</x:v>
      </x:c>
      <x:c r="N148" s="9" t="str">
        <x:v>排行榜_商品榜_销售额榜_热销_运动服_休闲服装-运休闲服装-跑步短裤_2025-11-01_2026-10-31 (5).xlsx</x:v>
      </x:c>
      <x:c r="O148" s="9" t="str">
        <x:v>默认</x:v>
      </x:c>
      <x:c r="P148" s="9" t="n">
        <x:v>47</x:v>
      </x:c>
      <x:c r="Q148" s="9" t="str">
        <x:v>9ad7424665e3f8b592ed8cec3e99707eea5b9bd2316d324ab5977c56b4039ec9</x:v>
      </x:c>
      <x:c r="R148" s="9" t="str">
        <x:v>MIX_SPORT_AVGPAID_1500_1600_ANNUAL2026</x:v>
      </x:c>
      <x:c r="S148" s="9" t="str">
        <x:v>排行榜_商品榜_销售额榜_热销_运动服_休闲服装-运休闲服装-跑步短裤_2025-11-01_2026-10-31 (5).xlsx / 默认 / 第47行 / SHA256 9ad7424665e3f8b592ed8cec3e99707eea5b9bd2316d324ab5977c56b4039ec9</x:v>
      </x:c>
    </x:row>
    <x:row r="149" ht="58" customHeight="1">
      <x:c r="A149" s="23" t="str">
        <x:v>1080421743578</x:v>
      </x:c>
      <x:c r="B149" s="22"/>
      <x:c r="C149" s="22"/>
      <x:c r="D149" s="9" t="str">
        <x:v>【秋冬】DESCENTEBLANC迪桑特ALLTERRAIN 81轻量水洗弹力长裤</x:v>
      </x:c>
      <x:c r="E149" s="9" t="str">
        <x:v>DESCENTE/迪桑特</x:v>
      </x:c>
      <x:c r="F149" s="9" t="str">
        <x:v>长裤</x:v>
      </x:c>
      <x:c r="G149" s="9" t="str">
        <x:v>训练／运动长裤</x:v>
      </x:c>
      <x:c r="H149" s="24" t="n">
        <x:v>1574.63</x:v>
      </x:c>
      <x:c r="I149" s="25" t="e">
        <x:f>HYPERLINK("https://item.taobao.com/item.htm?id=1080421743578","打开商品")</x:f>
        <x:v>HYPERLINK is not implemented. linkLocation=https://item.taobao.com/item.htm?id=1080421743578, friendlyName=打开商品</x:v>
      </x:c>
      <x:c r="J149" s="25" t="e">
        <x:f>HYPERLINK("https://data.zhiyitech.cn/itemDetail/overview/base?itemId=1080421743578","打开知衣")</x:f>
        <x:v>HYPERLINK is not implemented. linkLocation=https://data.zhiyitech.cn/itemDetail/overview/base?itemId=1080421743578, friendlyName=打开知衣</x:v>
      </x:c>
      <x:c r="K149" s="25" t="e">
        <x:f>HYPERLINK("https://img.alicdn.com/bao/uploaded/i1/2219286696309/O1CN01g6CC7zRKxHH43lmS_!!4611686018427384181-0-item_pic.jpg","查看主图")</x:f>
        <x:v>HYPERLINK is not implemented. linkLocation=https://img.alicdn.com/bao/uploaded/i1/2219286696309/O1CN01g6CC7zRKxHH43lmS_!!4611686018427384181-0-item_pic.jpg, friendlyName=查看主图</x:v>
      </x:c>
      <x:c r="L149" s="9" t="str">
        <x:v>无明确性别信息</x:v>
      </x:c>
      <x:c r="M149" s="9" t="str">
        <x:v>运动下装</x:v>
      </x:c>
      <x:c r="N149" s="9" t="str">
        <x:v>排行榜_商品榜_销售额榜_热销_运动服_休闲服装-运休闲服装-跑步短裤_2025-11-01_2026-10-31 (5).xlsx</x:v>
      </x:c>
      <x:c r="O149" s="9" t="str">
        <x:v>默认</x:v>
      </x:c>
      <x:c r="P149" s="9" t="n">
        <x:v>72</x:v>
      </x:c>
      <x:c r="Q149" s="9" t="str">
        <x:v>9ad7424665e3f8b592ed8cec3e99707eea5b9bd2316d324ab5977c56b4039ec9</x:v>
      </x:c>
      <x:c r="R149" s="9" t="str">
        <x:v>MIX_SPORT_AVGPAID_1500_1600_ANNUAL2026</x:v>
      </x:c>
      <x:c r="S149" s="9" t="str">
        <x:v>排行榜_商品榜_销售额榜_热销_运动服_休闲服装-运休闲服装-跑步短裤_2025-11-01_2026-10-31 (5).xlsx / 默认 / 第72行 / SHA256 9ad7424665e3f8b592ed8cec3e99707eea5b9bd2316d324ab5977c56b4039ec9</x:v>
      </x:c>
    </x:row>
    <x:row r="150" ht="58" customHeight="1">
      <x:c r="A150" s="23" t="str">
        <x:v>1080422043045</x:v>
      </x:c>
      <x:c r="B150" s="22"/>
      <x:c r="C150" s="22"/>
      <x:c r="D150" s="9" t="str">
        <x:v>【秋冬】DESCENTEBLANC迪桑特ALLTERRAIN 81弹力抓绒厚款软壳长裤</x:v>
      </x:c>
      <x:c r="E150" s="9" t="str">
        <x:v>DESCENTE/迪桑特</x:v>
      </x:c>
      <x:c r="F150" s="9" t="str">
        <x:v>长裤</x:v>
      </x:c>
      <x:c r="G150" s="9" t="str">
        <x:v>训练／运动长裤</x:v>
      </x:c>
      <x:c r="H150" s="24" t="n">
        <x:v>1948.03</x:v>
      </x:c>
      <x:c r="I150" s="25" t="e">
        <x:f>HYPERLINK("https://item.taobao.com/item.htm?id=1080422043045","打开商品")</x:f>
        <x:v>HYPERLINK is not implemented. linkLocation=https://item.taobao.com/item.htm?id=1080422043045, friendlyName=打开商品</x:v>
      </x:c>
      <x:c r="J150" s="25" t="e">
        <x:f>HYPERLINK("https://data.zhiyitech.cn/itemDetail/overview/base?itemId=1080422043045","打开知衣")</x:f>
        <x:v>HYPERLINK is not implemented. linkLocation=https://data.zhiyitech.cn/itemDetail/overview/base?itemId=1080422043045, friendlyName=打开知衣</x:v>
      </x:c>
      <x:c r="K150" s="25" t="e">
        <x:f>HYPERLINK("https://img.alicdn.com/bao/uploaded/i3/2219286696309/O1CN01WGVOLXdWvdD43lmS_!!4611686018427384181-0-item_pic.jpg","查看主图")</x:f>
        <x:v>HYPERLINK is not implemented. linkLocation=https://img.alicdn.com/bao/uploaded/i3/2219286696309/O1CN01WGVOLXdWvdD43lmS_!!4611686018427384181-0-item_pic.jpg, friendlyName=查看主图</x:v>
      </x:c>
      <x:c r="L150" s="9" t="str">
        <x:v>无明确性别信息</x:v>
      </x:c>
      <x:c r="M150" s="9" t="str">
        <x:v>运动下装</x:v>
      </x:c>
      <x:c r="N150" s="9" t="str">
        <x:v>排行榜_商品榜_销售额榜_热销_运动服_休闲服装-运休闲服装-跑步短裤_2025-11-01_2026-10-31 (1).xlsx</x:v>
      </x:c>
      <x:c r="O150" s="9" t="str">
        <x:v>默认</x:v>
      </x:c>
      <x:c r="P150" s="9" t="n">
        <x:v>15</x:v>
      </x:c>
      <x:c r="Q150" s="9" t="str">
        <x:v>9d582a2a182ec48ec8a355657c0bf2d8e8f39ae4b7c96aaa441f0d48c6b3d994</x:v>
      </x:c>
      <x:c r="R150" s="9" t="str">
        <x:v>MIX_SPORT_AVGPAID_1900_2000_ANNUAL2026</x:v>
      </x:c>
      <x:c r="S150" s="9" t="str">
        <x:v>排行榜_商品榜_销售额榜_热销_运动服_休闲服装-运休闲服装-跑步短裤_2025-11-01_2026-10-31 (1).xlsx / 默认 / 第15行 / SHA256 9d582a2a182ec48ec8a355657c0bf2d8e8f39ae4b7c96aaa441f0d48c6b3d994</x:v>
      </x:c>
    </x:row>
    <x:row r="151" ht="58" customHeight="1">
      <x:c r="A151" s="23" t="str">
        <x:v>1083574355558</x:v>
      </x:c>
      <x:c r="B151" s="22"/>
      <x:c r="C151" s="22"/>
      <x:c r="D151" s="9" t="str">
        <x:v>DESCENTE迪桑特ALLTERRAIN 81系列弹力抓绒厚款长裤</x:v>
      </x:c>
      <x:c r="E151" s="9" t="str">
        <x:v>DESCENTE/迪桑特</x:v>
      </x:c>
      <x:c r="F151" s="9" t="str">
        <x:v>长裤</x:v>
      </x:c>
      <x:c r="G151" s="9" t="str">
        <x:v>训练／运动长裤</x:v>
      </x:c>
      <x:c r="H151" s="24" t="n">
        <x:v>1949.19</x:v>
      </x:c>
      <x:c r="I151" s="25" t="e">
        <x:f>HYPERLINK("https://item.taobao.com/item.htm?id=1083574355558","打开商品")</x:f>
        <x:v>HYPERLINK is not implemented. linkLocation=https://item.taobao.com/item.htm?id=1083574355558, friendlyName=打开商品</x:v>
      </x:c>
      <x:c r="J151" s="25" t="e">
        <x:f>HYPERLINK("https://data.zhiyitech.cn/itemDetail/overview/base?itemId=1083574355558","打开知衣")</x:f>
        <x:v>HYPERLINK is not implemented. linkLocation=https://data.zhiyitech.cn/itemDetail/overview/base?itemId=1083574355558, friendlyName=打开知衣</x:v>
      </x:c>
      <x:c r="K151" s="25" t="e">
        <x:f>HYPERLINK("https://img.alicdn.com/bao/uploaded/i4/3299471109/O1CN01EwwfjlQEyrE43lmS_!!4611686018427383557-0-item_pic.jpg","查看主图")</x:f>
        <x:v>HYPERLINK is not implemented. linkLocation=https://img.alicdn.com/bao/uploaded/i4/3299471109/O1CN01EwwfjlQEyrE43lmS_!!4611686018427383557-0-item_pic.jpg, friendlyName=查看主图</x:v>
      </x:c>
      <x:c r="L151" s="9" t="str">
        <x:v>无明确性别信息</x:v>
      </x:c>
      <x:c r="M151" s="9" t="str">
        <x:v>运动下装</x:v>
      </x:c>
      <x:c r="N151" s="9" t="str">
        <x:v>排行榜_商品榜_销售额榜_热销_运动服_休闲服装-运休闲服装-跑步短裤_2025-11-01_2026-10-31 (1).xlsx</x:v>
      </x:c>
      <x:c r="O151" s="9" t="str">
        <x:v>默认</x:v>
      </x:c>
      <x:c r="P151" s="9" t="n">
        <x:v>18</x:v>
      </x:c>
      <x:c r="Q151" s="9" t="str">
        <x:v>9d582a2a182ec48ec8a355657c0bf2d8e8f39ae4b7c96aaa441f0d48c6b3d994</x:v>
      </x:c>
      <x:c r="R151" s="9" t="str">
        <x:v>MIX_SPORT_AVGPAID_1900_2000_ANNUAL2026</x:v>
      </x:c>
      <x:c r="S151" s="9" t="str">
        <x:v>排行榜_商品榜_销售额榜_热销_运动服_休闲服装-运休闲服装-跑步短裤_2025-11-01_2026-10-31 (1).xlsx / 默认 / 第18行 / SHA256 9d582a2a182ec48ec8a355657c0bf2d8e8f39ae4b7c96aaa441f0d48c6b3d994</x:v>
      </x:c>
    </x:row>
    <x:row r="152" ht="58" customHeight="1">
      <x:c r="A152" s="23" t="str">
        <x:v>826981304903</x:v>
      </x:c>
      <x:c r="B152" s="22"/>
      <x:c r="C152" s="22"/>
      <x:c r="D152" s="9" t="str">
        <x:v>DESCENTE迪桑特轻户外针织运动长裤</x:v>
      </x:c>
      <x:c r="E152" s="9" t="str">
        <x:v>DESCENTE/迪桑特</x:v>
      </x:c>
      <x:c r="F152" s="9" t="str">
        <x:v>长裤</x:v>
      </x:c>
      <x:c r="G152" s="9" t="str">
        <x:v>训练／运动长裤</x:v>
      </x:c>
      <x:c r="H152" s="24" t="n">
        <x:v>1450.7</x:v>
      </x:c>
      <x:c r="I152" s="25" t="e">
        <x:f>HYPERLINK("https://item.taobao.com/item.htm?id=826981304903","打开商品")</x:f>
        <x:v>HYPERLINK is not implemented. linkLocation=https://item.taobao.com/item.htm?id=826981304903, friendlyName=打开商品</x:v>
      </x:c>
      <x:c r="J152" s="25" t="e">
        <x:f>HYPERLINK("https://data.zhiyitech.cn/itemDetail/overview/base?itemId=826981304903","打开知衣")</x:f>
        <x:v>HYPERLINK is not implemented. linkLocation=https://data.zhiyitech.cn/itemDetail/overview/base?itemId=826981304903, friendlyName=打开知衣</x:v>
      </x:c>
      <x:c r="K152" s="25" t="e">
        <x:f>HYPERLINK("https://img.alicdn.com/bao/uploaded/i3/3299471109/O1CN01dIeKcafkUNJ43lmS_!!4611686018427383557-0-item_pic.jpg","查看主图")</x:f>
        <x:v>HYPERLINK is not implemented. linkLocation=https://img.alicdn.com/bao/uploaded/i3/3299471109/O1CN01dIeKcafkUNJ43lmS_!!4611686018427383557-0-item_pic.jpg, friendlyName=查看主图</x:v>
      </x:c>
      <x:c r="L152" s="9" t="str">
        <x:v>无明确性别信息</x:v>
      </x:c>
      <x:c r="M152" s="9" t="str">
        <x:v>运动下装</x:v>
      </x:c>
      <x:c r="N152" s="9" t="str">
        <x:v>排行榜_商品榜_销售额榜_热销_运动服_休闲服装-运休闲服装-跑步短裤_2025-11-01_2026-10-31 (6).xlsx</x:v>
      </x:c>
      <x:c r="O152" s="9" t="str">
        <x:v>默认</x:v>
      </x:c>
      <x:c r="P152" s="9" t="n">
        <x:v>85</x:v>
      </x:c>
      <x:c r="Q152" s="9" t="str">
        <x:v>51c5baf852346f6326f6a242f8205ac9db74e4145a36be5e01e3352750e8cecc</x:v>
      </x:c>
      <x:c r="R152" s="9" t="str">
        <x:v>MIX_SPORT_AVGPAID_1400_1500_ANNUAL2026</x:v>
      </x:c>
      <x:c r="S152" s="9" t="str">
        <x:v>排行榜_商品榜_销售额榜_热销_运动服_休闲服装-运休闲服装-跑步短裤_2025-11-01_2026-10-31 (6).xlsx / 默认 / 第85行 / SHA256 51c5baf852346f6326f6a242f8205ac9db74e4145a36be5e01e3352750e8cecc</x:v>
      </x:c>
    </x:row>
    <x:row r="153" ht="58" customHeight="1">
      <x:c r="A153" s="23" t="str">
        <x:v>887345257045</x:v>
      </x:c>
      <x:c r="B153" s="22"/>
      <x:c r="C153" s="22"/>
      <x:c r="D153" s="9" t="str">
        <x:v>DESCENTEBLANC迪桑特ALLTERRAIN 81系列轻户外宽松长裤CORDURA</x:v>
      </x:c>
      <x:c r="E153" s="9" t="str">
        <x:v>DESCENTE/迪桑特</x:v>
      </x:c>
      <x:c r="F153" s="9" t="str">
        <x:v>长裤</x:v>
      </x:c>
      <x:c r="G153" s="9" t="str">
        <x:v>训练／运动长裤</x:v>
      </x:c>
      <x:c r="H153" s="24" t="n">
        <x:v>1147.46</x:v>
      </x:c>
      <x:c r="I153" s="25" t="e">
        <x:f>HYPERLINK("https://item.taobao.com/item.htm?id=887345257045","打开商品")</x:f>
        <x:v>HYPERLINK is not implemented. linkLocation=https://item.taobao.com/item.htm?id=887345257045, friendlyName=打开商品</x:v>
      </x:c>
      <x:c r="J153" s="25" t="e">
        <x:f>HYPERLINK("https://data.zhiyitech.cn/itemDetail/overview/base?itemId=887345257045","打开知衣")</x:f>
        <x:v>HYPERLINK is not implemented. linkLocation=https://data.zhiyitech.cn/itemDetail/overview/base?itemId=887345257045, friendlyName=打开知衣</x:v>
      </x:c>
      <x:c r="K153" s="25" t="e">
        <x:f>HYPERLINK("https://img.alicdn.com/bao/uploaded/i4/2219286696309/O1CN01XBicN8l9QYL2b8G8_!!4611686018427384181-0-item_pic.jpg","查看主图")</x:f>
        <x:v>HYPERLINK is not implemented. linkLocation=https://img.alicdn.com/bao/uploaded/i4/2219286696309/O1CN01XBicN8l9QYL2b8G8_!!4611686018427384181-0-item_pic.jpg, friendlyName=查看主图</x:v>
      </x:c>
      <x:c r="L153" s="9" t="str">
        <x:v>无明确性别信息</x:v>
      </x:c>
      <x:c r="M153" s="9" t="str">
        <x:v>运动下装</x:v>
      </x:c>
      <x:c r="N153" s="9" t="str">
        <x:v>排行榜_商品榜_销售额榜_热销_运动服_休闲服装-运休闲服装-跑步短裤_2025-11-01_2026-10-31 (9).xlsx</x:v>
      </x:c>
      <x:c r="O153" s="9" t="str">
        <x:v>默认</x:v>
      </x:c>
      <x:c r="P153" s="9" t="n">
        <x:v>224</x:v>
      </x:c>
      <x:c r="Q153" s="9" t="str">
        <x:v>bf4c13b761e645dc5b709fecfe2eba562c597469bada8d60d13514dd26d590ba</x:v>
      </x:c>
      <x:c r="R153" s="9" t="str">
        <x:v>MIX_SPORT_AVGPAID_1100_1200_ANNUAL2026</x:v>
      </x:c>
      <x:c r="S153" s="9" t="str">
        <x:v>排行榜_商品榜_销售额榜_热销_运动服_休闲服装-运休闲服装-跑步短裤_2025-11-01_2026-10-31 (9).xlsx / 默认 / 第224行 / SHA256 bf4c13b761e645dc5b709fecfe2eba562c597469bada8d60d13514dd26d590ba</x:v>
      </x:c>
    </x:row>
    <x:row r="154" ht="58" customHeight="1">
      <x:c r="A154" s="23" t="str">
        <x:v>965888917336</x:v>
      </x:c>
      <x:c r="B154" s="22"/>
      <x:c r="C154" s="22"/>
      <x:c r="D154" s="9" t="str">
        <x:v>DESCENTEBLANC迪桑特ALLTERRAIN 81系列轻户外工装长裤CORDURA</x:v>
      </x:c>
      <x:c r="E154" s="9" t="str">
        <x:v>DESCENTE/迪桑特</x:v>
      </x:c>
      <x:c r="F154" s="9" t="str">
        <x:v>长裤</x:v>
      </x:c>
      <x:c r="G154" s="9" t="str">
        <x:v>训练／运动长裤</x:v>
      </x:c>
      <x:c r="H154" s="24" t="n">
        <x:v>1522.47</x:v>
      </x:c>
      <x:c r="I154" s="25" t="e">
        <x:f>HYPERLINK("https://item.taobao.com/item.htm?id=965888917336","打开商品")</x:f>
        <x:v>HYPERLINK is not implemented. linkLocation=https://item.taobao.com/item.htm?id=965888917336, friendlyName=打开商品</x:v>
      </x:c>
      <x:c r="J154" s="25" t="e">
        <x:f>HYPERLINK("https://data.zhiyitech.cn/itemDetail/overview/base?itemId=965888917336","打开知衣")</x:f>
        <x:v>HYPERLINK is not implemented. linkLocation=https://data.zhiyitech.cn/itemDetail/overview/base?itemId=965888917336, friendlyName=打开知衣</x:v>
      </x:c>
      <x:c r="K154" s="25" t="e">
        <x:f>HYPERLINK("https://img.alicdn.com/bao/uploaded/i1/2219286696309/O1CN010YJpLw1wTZsAwMuax_!!4611686018427384181-0-item_pic.jpg","查看主图")</x:f>
        <x:v>HYPERLINK is not implemented. linkLocation=https://img.alicdn.com/bao/uploaded/i1/2219286696309/O1CN010YJpLw1wTZsAwMuax_!!4611686018427384181-0-item_pic.jpg, friendlyName=查看主图</x:v>
      </x:c>
      <x:c r="L154" s="9" t="str">
        <x:v>无明确性别信息</x:v>
      </x:c>
      <x:c r="M154" s="9" t="str">
        <x:v>运动下装</x:v>
      </x:c>
      <x:c r="N154" s="9" t="str">
        <x:v>排行榜_商品榜_销售额榜_热销_运动服_休闲服装-运休闲服装-跑步短裤_2025-11-01_2026-10-31 (5).xlsx</x:v>
      </x:c>
      <x:c r="O154" s="9" t="str">
        <x:v>默认</x:v>
      </x:c>
      <x:c r="P154" s="9" t="n">
        <x:v>60</x:v>
      </x:c>
      <x:c r="Q154" s="9" t="str">
        <x:v>9ad7424665e3f8b592ed8cec3e99707eea5b9bd2316d324ab5977c56b4039ec9</x:v>
      </x:c>
      <x:c r="R154" s="9" t="str">
        <x:v>MIX_SPORT_AVGPAID_1500_1600_ANNUAL2026</x:v>
      </x:c>
      <x:c r="S154" s="9" t="str">
        <x:v>排行榜_商品榜_销售额榜_热销_运动服_休闲服装-运休闲服装-跑步短裤_2025-11-01_2026-10-31 (5).xlsx / 默认 / 第60行 / SHA256 9ad7424665e3f8b592ed8cec3e99707eea5b9bd2316d324ab5977c56b4039ec9</x:v>
      </x:c>
    </x:row>
    <x:row r="155" ht="58" customHeight="1">
      <x:c r="A155" s="23" t="str">
        <x:v>975563621511</x:v>
      </x:c>
      <x:c r="B155" s="22"/>
      <x:c r="C155" s="22"/>
      <x:c r="D155" s="9" t="str">
        <x:v>DESCENTE迪桑特轻户外工装长裤CORDURA</x:v>
      </x:c>
      <x:c r="E155" s="9" t="str">
        <x:v>DESCENTE/迪桑特</x:v>
      </x:c>
      <x:c r="F155" s="9" t="str">
        <x:v>长裤</x:v>
      </x:c>
      <x:c r="G155" s="9" t="str">
        <x:v>训练／运动长裤</x:v>
      </x:c>
      <x:c r="H155" s="24" t="n">
        <x:v>1712.95</x:v>
      </x:c>
      <x:c r="I155" s="25" t="e">
        <x:f>HYPERLINK("https://item.taobao.com/item.htm?id=975563621511","打开商品")</x:f>
        <x:v>HYPERLINK is not implemented. linkLocation=https://item.taobao.com/item.htm?id=975563621511, friendlyName=打开商品</x:v>
      </x:c>
      <x:c r="J155" s="25" t="e">
        <x:f>HYPERLINK("https://data.zhiyitech.cn/itemDetail/overview/base?itemId=975563621511","打开知衣")</x:f>
        <x:v>HYPERLINK is not implemented. linkLocation=https://data.zhiyitech.cn/itemDetail/overview/base?itemId=975563621511, friendlyName=打开知衣</x:v>
      </x:c>
      <x:c r="K155" s="25" t="e">
        <x:f>HYPERLINK("https://img.alicdn.com/bao/uploaded/i2/3299471109/O1CN016RCRORUPr7I2b8G8_!!4611686018427383557-0-item_pic.jpg","查看主图")</x:f>
        <x:v>HYPERLINK is not implemented. linkLocation=https://img.alicdn.com/bao/uploaded/i2/3299471109/O1CN016RCRORUPr7I2b8G8_!!4611686018427383557-0-item_pic.jpg, friendlyName=查看主图</x:v>
      </x:c>
      <x:c r="L155" s="9" t="str">
        <x:v>无明确性别信息</x:v>
      </x:c>
      <x:c r="M155" s="9" t="str">
        <x:v>运动下装</x:v>
      </x:c>
      <x:c r="N155" s="9" t="str">
        <x:v>排行榜_商品榜_销售额榜_热销_运动服_休闲服装-运休闲服装-跑步短裤_2025-11-01_2026-10-31 (3).xlsx</x:v>
      </x:c>
      <x:c r="O155" s="9" t="str">
        <x:v>默认</x:v>
      </x:c>
      <x:c r="P155" s="9" t="n">
        <x:v>30</x:v>
      </x:c>
      <x:c r="Q155" s="9" t="str">
        <x:v>75c32f8ec048c7ff6d1862fee5bc8a3793f270522255a1b54f34ebdea84168ec</x:v>
      </x:c>
      <x:c r="R155" s="9" t="str">
        <x:v>MIX_SPORT_AVGPAID_1700_1800_ANNUAL2026</x:v>
      </x:c>
      <x:c r="S155" s="9" t="str">
        <x:v>排行榜_商品榜_销售额榜_热销_运动服_休闲服装-运休闲服装-跑步短裤_2025-11-01_2026-10-31 (3).xlsx / 默认 / 第30行 / SHA256 75c32f8ec048c7ff6d1862fee5bc8a3793f270522255a1b54f34ebdea84168ec</x:v>
      </x:c>
    </x:row>
    <x:row r="156" ht="58" customHeight="1">
      <x:c r="A156" s="23" t="str">
        <x:v>980598773095</x:v>
      </x:c>
      <x:c r="B156" s="22"/>
      <x:c r="C156" s="22"/>
      <x:c r="D156" s="9" t="str">
        <x:v>DESCENTEBLANC迪桑特ALLTERRAIN 81系列轻户外厚款弹力长裤</x:v>
      </x:c>
      <x:c r="E156" s="9" t="str">
        <x:v>DESCENTE/迪桑特</x:v>
      </x:c>
      <x:c r="F156" s="9" t="str">
        <x:v>长裤</x:v>
      </x:c>
      <x:c r="G156" s="9" t="str">
        <x:v>训练／运动长裤</x:v>
      </x:c>
      <x:c r="H156" s="24" t="n">
        <x:v>1367.97</x:v>
      </x:c>
      <x:c r="I156" s="25" t="e">
        <x:f>HYPERLINK("https://item.taobao.com/item.htm?id=980598773095","打开商品")</x:f>
        <x:v>HYPERLINK is not implemented. linkLocation=https://item.taobao.com/item.htm?id=980598773095, friendlyName=打开商品</x:v>
      </x:c>
      <x:c r="J156" s="25" t="e">
        <x:f>HYPERLINK("https://data.zhiyitech.cn/itemDetail/overview/base?itemId=980598773095","打开知衣")</x:f>
        <x:v>HYPERLINK is not implemented. linkLocation=https://data.zhiyitech.cn/itemDetail/overview/base?itemId=980598773095, friendlyName=打开知衣</x:v>
      </x:c>
      <x:c r="K156" s="25" t="e">
        <x:f>HYPERLINK("https://img.alicdn.com/bao/uploaded/i1/2219286696309/O1CN01vPJqV6kVpFE2b8G8_!!4611686018427384181-0-item_pic.jpg","查看主图")</x:f>
        <x:v>HYPERLINK is not implemented. linkLocation=https://img.alicdn.com/bao/uploaded/i1/2219286696309/O1CN01vPJqV6kVpFE2b8G8_!!4611686018427384181-0-item_pic.jpg, friendlyName=查看主图</x:v>
      </x:c>
      <x:c r="L156" s="9" t="str">
        <x:v>无明确性别信息</x:v>
      </x:c>
      <x:c r="M156" s="9" t="str">
        <x:v>运动下装</x:v>
      </x:c>
      <x:c r="N156" s="9" t="str">
        <x:v>排行榜_商品榜_销售额榜_热销_运动服_休闲服装-运休闲服装-跑步短裤_2025-11-01_2026-10-31 (7).xlsx</x:v>
      </x:c>
      <x:c r="O156" s="9" t="str">
        <x:v>默认</x:v>
      </x:c>
      <x:c r="P156" s="9" t="n">
        <x:v>140</x:v>
      </x:c>
      <x:c r="Q156" s="9" t="str">
        <x:v>b4959cd74b14f4314b9473c91799b973e0b2ff209bedfdac04b6266e6a5d9ce9</x:v>
      </x:c>
      <x:c r="R156" s="9" t="str">
        <x:v>MIX_SPORT_AVGPAID_1300_1400_ANNUAL2026</x:v>
      </x:c>
      <x:c r="S156" s="9" t="str">
        <x:v>排行榜_商品榜_销售额榜_热销_运动服_休闲服装-运休闲服装-跑步短裤_2025-11-01_2026-10-31 (7).xlsx / 默认 / 第140行 / SHA256 b4959cd74b14f4314b9473c91799b973e0b2ff209bedfdac04b6266e6a5d9ce9</x:v>
      </x:c>
    </x:row>
    <x:row r="157" ht="58" customHeight="1">
      <x:c r="A157" s="23" t="str">
        <x:v>999801344402</x:v>
      </x:c>
      <x:c r="B157" s="22"/>
      <x:c r="C157" s="22"/>
      <x:c r="D157" s="9" t="str">
        <x:v>DESCENTE迪桑特ESSENTIAL远红外发热锁温亲肤宽松针织运动长裤</x:v>
      </x:c>
      <x:c r="E157" s="9" t="str">
        <x:v>DESCENTE/迪桑特</x:v>
      </x:c>
      <x:c r="F157" s="9" t="str">
        <x:v>长裤</x:v>
      </x:c>
      <x:c r="G157" s="9" t="str">
        <x:v>训练／运动长裤</x:v>
      </x:c>
      <x:c r="H157" s="24" t="n">
        <x:v>1026.75</x:v>
      </x:c>
      <x:c r="I157" s="25" t="e">
        <x:f>HYPERLINK("https://item.taobao.com/item.htm?id=999801344402","打开商品")</x:f>
        <x:v>HYPERLINK is not implemented. linkLocation=https://item.taobao.com/item.htm?id=999801344402, friendlyName=打开商品</x:v>
      </x:c>
      <x:c r="J157" s="25" t="e">
        <x:f>HYPERLINK("https://data.zhiyitech.cn/itemDetail/overview/base?itemId=999801344402","打开知衣")</x:f>
        <x:v>HYPERLINK is not implemented. linkLocation=https://data.zhiyitech.cn/itemDetail/overview/base?itemId=999801344402, friendlyName=打开知衣</x:v>
      </x:c>
      <x:c r="K157" s="25" t="e">
        <x:f>HYPERLINK("https://img.alicdn.com/bao/uploaded/i1/3299471109/O1CN01FqjkNx1K3yMkHh23S_!!3299471109.jpg","查看主图")</x:f>
        <x:v>HYPERLINK is not implemented. linkLocation=https://img.alicdn.com/bao/uploaded/i1/3299471109/O1CN01FqjkNx1K3yMkHh23S_!!3299471109.jpg, friendlyName=查看主图</x:v>
      </x:c>
      <x:c r="L157" s="9" t="str">
        <x:v>无明确性别信息</x:v>
      </x:c>
      <x:c r="M157" s="9" t="str">
        <x:v>运动下装</x:v>
      </x:c>
      <x:c r="N157" s="9" t="str">
        <x:v>排行榜_商品榜_销售额榜_热销_运动服_休闲服装-运休闲服装-跑步短裤_2025-11-01_2026-10-31 (10).xlsx</x:v>
      </x:c>
      <x:c r="O157" s="9" t="str">
        <x:v>默认</x:v>
      </x:c>
      <x:c r="P157" s="9" t="n">
        <x:v>97</x:v>
      </x:c>
      <x:c r="Q157" s="9" t="str">
        <x:v>77c2723e3730f60e82908e61638dbb3700ba4d487e03331cf25303638bb2767e</x:v>
      </x:c>
      <x:c r="R157" s="9" t="str">
        <x:v>MIX_SPORT_AVGPAID_1000_1100_ANNUAL2026</x:v>
      </x:c>
      <x:c r="S157" s="9" t="str">
        <x:v>排行榜_商品榜_销售额榜_热销_运动服_休闲服装-运休闲服装-跑步短裤_2025-11-01_2026-10-31 (10).xlsx / 默认 / 第97行 / SHA256 77c2723e3730f60e82908e61638dbb3700ba4d487e03331cf25303638bb2767e</x:v>
      </x:c>
    </x:row>
    <x:row r="158" ht="58" customHeight="1">
      <x:c r="A158" s="23" t="str">
        <x:v>1017346181882</x:v>
      </x:c>
      <x:c r="B158" s="22"/>
      <x:c r="C158" s="22"/>
      <x:c r="D158" s="9" t="str">
        <x:v>【Xander同款】迪桑特高尔夫PRO立体弹力长裤 挺阔有型 春夏新品</x:v>
      </x:c>
      <x:c r="E158" s="9" t="str">
        <x:v>DESCENTEGOLF</x:v>
      </x:c>
      <x:c r="F158" s="9" t="str">
        <x:v>长裤</x:v>
      </x:c>
      <x:c r="G158" s="9" t="str">
        <x:v>高尔夫长裤</x:v>
      </x:c>
      <x:c r="H158" s="24" t="n">
        <x:v>2131.3</x:v>
      </x:c>
      <x:c r="I158" s="25" t="e">
        <x:f>HYPERLINK("https://item.taobao.com/item.htm?id=1017346181882","打开商品")</x:f>
        <x:v>HYPERLINK is not implemented. linkLocation=https://item.taobao.com/item.htm?id=1017346181882, friendlyName=打开商品</x:v>
      </x:c>
      <x:c r="J158" s="25" t="e">
        <x:f>HYPERLINK("https://data.zhiyitech.cn/itemDetail/overview/base?itemId=1017346181882","打开知衣")</x:f>
        <x:v>HYPERLINK is not implemented. linkLocation=https://data.zhiyitech.cn/itemDetail/overview/base?itemId=1017346181882, friendlyName=打开知衣</x:v>
      </x:c>
      <x:c r="K158" s="25" t="e">
        <x:f>HYPERLINK("https://img.alicdn.com/bao/uploaded/i1/2212452067050/O1CN01YNVinRSQp4K43lmS_!!4611686018427381482-0-item_pic.jpg","查看主图")</x:f>
        <x:v>HYPERLINK is not implemented. linkLocation=https://img.alicdn.com/bao/uploaded/i1/2212452067050/O1CN01YNVinRSQp4K43lmS_!!4611686018427381482-0-item_pic.jpg, friendlyName=查看主图</x:v>
      </x:c>
      <x:c r="L158" s="9" t="str">
        <x:v>无明确性别信息</x:v>
      </x:c>
      <x:c r="M158" s="9" t="str">
        <x:v>高尔夫下装</x:v>
      </x:c>
      <x:c r="N158" s="9" t="str">
        <x:v>排行榜_商品榜_销售额榜_热销_运动_瑜伽_健身_球球迷用品-高尔夫裙_2025-11-01_2026-10-31(1).xlsx</x:v>
      </x:c>
      <x:c r="O158" s="9" t="str">
        <x:v>默认</x:v>
      </x:c>
      <x:c r="P158" s="9" t="n">
        <x:v>13</x:v>
      </x:c>
      <x:c r="Q158" s="9" t="str">
        <x:v>76a41cee55316a5b2ae8ed33466d173d90824bcf6f377cac0b9f7eed45c02df4</x:v>
      </x:c>
      <x:c r="R158" s="9" t="str">
        <x:v>MIX_GOLF_AVGPAID_1500_PLUS_ANNUAL2026</x:v>
      </x:c>
      <x:c r="S158" s="9" t="str">
        <x:v>排行榜_商品榜_销售额榜_热销_运动_瑜伽_健身_球球迷用品-高尔夫裙_2025-11-01_2026-10-31(1).xlsx / 默认 / 第13行 / SHA256 76a41cee55316a5b2ae8ed33466d173d90824bcf6f377cac0b9f7eed45c02df4</x:v>
      </x:c>
    </x:row>
    <x:row r="159" ht="58" customHeight="1">
      <x:c r="A159" s="23" t="str">
        <x:v>1017346249660</x:v>
      </x:c>
      <x:c r="B159" s="22"/>
      <x:c r="C159" s="22"/>
      <x:c r="D159" s="9" t="str">
        <x:v>DESCENTEGOLF迪桑特高尔夫 S-CORE系列长裤春夏新品</x:v>
      </x:c>
      <x:c r="E159" s="9" t="str">
        <x:v>DESCENTEGOLF</x:v>
      </x:c>
      <x:c r="F159" s="9" t="str">
        <x:v>长裤</x:v>
      </x:c>
      <x:c r="G159" s="9" t="str">
        <x:v>高尔夫长裤</x:v>
      </x:c>
      <x:c r="H159" s="24" t="n">
        <x:v>1905</x:v>
      </x:c>
      <x:c r="I159" s="25" t="e">
        <x:f>HYPERLINK("https://item.taobao.com/item.htm?id=1017346249660","打开商品")</x:f>
        <x:v>HYPERLINK is not implemented. linkLocation=https://item.taobao.com/item.htm?id=1017346249660, friendlyName=打开商品</x:v>
      </x:c>
      <x:c r="J159" s="25" t="e">
        <x:f>HYPERLINK("https://data.zhiyitech.cn/itemDetail/overview/base?itemId=1017346249660","打开知衣")</x:f>
        <x:v>HYPERLINK is not implemented. linkLocation=https://data.zhiyitech.cn/itemDetail/overview/base?itemId=1017346249660, friendlyName=打开知衣</x:v>
      </x:c>
      <x:c r="K159" s="25" t="e">
        <x:f>HYPERLINK("https://img.alicdn.com/bao/uploaded/i1/2212452067050/O1CN01hiVU5AfTRpH43lmS_!!4611686018427381482-0-item_pic.jpg","查看主图")</x:f>
        <x:v>HYPERLINK is not implemented. linkLocation=https://img.alicdn.com/bao/uploaded/i1/2212452067050/O1CN01hiVU5AfTRpH43lmS_!!4611686018427381482-0-item_pic.jpg, friendlyName=查看主图</x:v>
      </x:c>
      <x:c r="L159" s="9" t="str">
        <x:v>无明确性别信息</x:v>
      </x:c>
      <x:c r="M159" s="9" t="str">
        <x:v>高尔夫下装</x:v>
      </x:c>
      <x:c r="N159" s="9" t="str">
        <x:v>排行榜_商品榜_销售额榜_热销_运动_瑜伽_健身_球球迷用品-高尔夫裙_2025-11-01_2026-10-31(1).xlsx</x:v>
      </x:c>
      <x:c r="O159" s="9" t="str">
        <x:v>默认</x:v>
      </x:c>
      <x:c r="P159" s="9" t="n">
        <x:v>155</x:v>
      </x:c>
      <x:c r="Q159" s="9" t="str">
        <x:v>76a41cee55316a5b2ae8ed33466d173d90824bcf6f377cac0b9f7eed45c02df4</x:v>
      </x:c>
      <x:c r="R159" s="9" t="str">
        <x:v>MIX_GOLF_AVGPAID_1500_PLUS_ANNUAL2026</x:v>
      </x:c>
      <x:c r="S159" s="9" t="str">
        <x:v>排行榜_商品榜_销售额榜_热销_运动_瑜伽_健身_球球迷用品-高尔夫裙_2025-11-01_2026-10-31(1).xlsx / 默认 / 第155行 / SHA256 76a41cee55316a5b2ae8ed33466d173d90824bcf6f377cac0b9f7eed45c02df4</x:v>
      </x:c>
    </x:row>
    <x:row r="160" ht="58" customHeight="1">
      <x:c r="A160" s="23" t="str">
        <x:v>1017346437584</x:v>
      </x:c>
      <x:c r="B160" s="22"/>
      <x:c r="C160" s="22"/>
      <x:c r="D160" s="9" t="str">
        <x:v>【石昱婷同款】迪桑特高尔夫 PRO系列微喇长裤春夏新品</x:v>
      </x:c>
      <x:c r="E160" s="9" t="str">
        <x:v>DESCENTEGOLF</x:v>
      </x:c>
      <x:c r="F160" s="9" t="str">
        <x:v>长裤</x:v>
      </x:c>
      <x:c r="G160" s="9" t="str">
        <x:v>高尔夫长裤</x:v>
      </x:c>
      <x:c r="H160" s="24" t="n">
        <x:v>2132.68</x:v>
      </x:c>
      <x:c r="I160" s="25" t="e">
        <x:f>HYPERLINK("https://item.taobao.com/item.htm?id=1017346437584","打开商品")</x:f>
        <x:v>HYPERLINK is not implemented. linkLocation=https://item.taobao.com/item.htm?id=1017346437584, friendlyName=打开商品</x:v>
      </x:c>
      <x:c r="J160" s="25" t="e">
        <x:f>HYPERLINK("https://data.zhiyitech.cn/itemDetail/overview/base?itemId=1017346437584","打开知衣")</x:f>
        <x:v>HYPERLINK is not implemented. linkLocation=https://data.zhiyitech.cn/itemDetail/overview/base?itemId=1017346437584, friendlyName=打开知衣</x:v>
      </x:c>
      <x:c r="K160" s="25" t="e">
        <x:f>HYPERLINK("https://img.alicdn.com/bao/uploaded/i2/2212452067050/O1CN010zkA1c5cnpD43lmS_!!4611686018427381482-0-item_pic.jpg","查看主图")</x:f>
        <x:v>HYPERLINK is not implemented. linkLocation=https://img.alicdn.com/bao/uploaded/i2/2212452067050/O1CN010zkA1c5cnpD43lmS_!!4611686018427381482-0-item_pic.jpg, friendlyName=查看主图</x:v>
      </x:c>
      <x:c r="L160" s="9" t="str">
        <x:v>无明确性别信息</x:v>
      </x:c>
      <x:c r="M160" s="9" t="str">
        <x:v>高尔夫下装</x:v>
      </x:c>
      <x:c r="N160" s="9" t="str">
        <x:v>排行榜_商品榜_销售额榜_热销_运动_瑜伽_健身_球球迷用品-高尔夫裙_2025-11-01_2026-10-31(1).xlsx</x:v>
      </x:c>
      <x:c r="O160" s="9" t="str">
        <x:v>默认</x:v>
      </x:c>
      <x:c r="P160" s="9" t="n">
        <x:v>6</x:v>
      </x:c>
      <x:c r="Q160" s="9" t="str">
        <x:v>76a41cee55316a5b2ae8ed33466d173d90824bcf6f377cac0b9f7eed45c02df4</x:v>
      </x:c>
      <x:c r="R160" s="9" t="str">
        <x:v>MIX_GOLF_AVGPAID_1500_PLUS_ANNUAL2026</x:v>
      </x:c>
      <x:c r="S160" s="9" t="str">
        <x:v>排行榜_商品榜_销售额榜_热销_运动_瑜伽_健身_球球迷用品-高尔夫裙_2025-11-01_2026-10-31(1).xlsx / 默认 / 第6行 / SHA256 76a41cee55316a5b2ae8ed33466d173d90824bcf6f377cac0b9f7eed45c02df4</x:v>
      </x:c>
    </x:row>
    <x:row r="161" ht="58" customHeight="1">
      <x:c r="A161" s="23" t="str">
        <x:v>1017346581300</x:v>
      </x:c>
      <x:c r="B161" s="22"/>
      <x:c r="C161" s="22"/>
      <x:c r="D161" s="9" t="str">
        <x:v>【李昊桐同款】迪桑特高尔夫PRO弹力直筒长裤 春夏新品</x:v>
      </x:c>
      <x:c r="E161" s="9" t="str">
        <x:v>DESCENTEGOLF</x:v>
      </x:c>
      <x:c r="F161" s="9" t="str">
        <x:v>长裤</x:v>
      </x:c>
      <x:c r="G161" s="9" t="str">
        <x:v>高尔夫长裤</x:v>
      </x:c>
      <x:c r="H161" s="24" t="n">
        <x:v>1939.38</x:v>
      </x:c>
      <x:c r="I161" s="25" t="e">
        <x:f>HYPERLINK("https://item.taobao.com/item.htm?id=1017346581300","打开商品")</x:f>
        <x:v>HYPERLINK is not implemented. linkLocation=https://item.taobao.com/item.htm?id=1017346581300, friendlyName=打开商品</x:v>
      </x:c>
      <x:c r="J161" s="25" t="e">
        <x:f>HYPERLINK("https://data.zhiyitech.cn/itemDetail/overview/base?itemId=1017346581300","打开知衣")</x:f>
        <x:v>HYPERLINK is not implemented. linkLocation=https://data.zhiyitech.cn/itemDetail/overview/base?itemId=1017346581300, friendlyName=打开知衣</x:v>
      </x:c>
      <x:c r="K161" s="25" t="e">
        <x:f>HYPERLINK("https://img.alicdn.com/bao/uploaded/i2/2212452067050/O1CN01Dew1Fx4AVDK43lmS_!!4611686018427381482-0-item_pic.jpg","查看主图")</x:f>
        <x:v>HYPERLINK is not implemented. linkLocation=https://img.alicdn.com/bao/uploaded/i2/2212452067050/O1CN01Dew1Fx4AVDK43lmS_!!4611686018427381482-0-item_pic.jpg, friendlyName=查看主图</x:v>
      </x:c>
      <x:c r="L161" s="9" t="str">
        <x:v>无明确性别信息</x:v>
      </x:c>
      <x:c r="M161" s="9" t="str">
        <x:v>高尔夫下装</x:v>
      </x:c>
      <x:c r="N161" s="9" t="str">
        <x:v>排行榜_商品榜_销售额榜_热销_运动_瑜伽_健身_球球迷用品-高尔夫裙_2025-11-01_2026-10-31(1).xlsx</x:v>
      </x:c>
      <x:c r="O161" s="9" t="str">
        <x:v>默认</x:v>
      </x:c>
      <x:c r="P161" s="9" t="n">
        <x:v>87</x:v>
      </x:c>
      <x:c r="Q161" s="9" t="str">
        <x:v>76a41cee55316a5b2ae8ed33466d173d90824bcf6f377cac0b9f7eed45c02df4</x:v>
      </x:c>
      <x:c r="R161" s="9" t="str">
        <x:v>MIX_GOLF_AVGPAID_1500_PLUS_ANNUAL2026</x:v>
      </x:c>
      <x:c r="S161" s="9" t="str">
        <x:v>排行榜_商品榜_销售额榜_热销_运动_瑜伽_健身_球球迷用品-高尔夫裙_2025-11-01_2026-10-31(1).xlsx / 默认 / 第87行 / SHA256 76a41cee55316a5b2ae8ed33466d173d90824bcf6f377cac0b9f7eed45c02df4</x:v>
      </x:c>
    </x:row>
    <x:row r="162" ht="58" customHeight="1">
      <x:c r="A162" s="23" t="str">
        <x:v>1041226797808</x:v>
      </x:c>
      <x:c r="B162" s="22"/>
      <x:c r="C162" s="22"/>
      <x:c r="D162" s="9" t="str">
        <x:v>【李昊桐同款】迪桑特高尔夫 PRO系列进口面料直筒长裤早秋新品</x:v>
      </x:c>
      <x:c r="E162" s="9" t="str">
        <x:v>DESCENTEGOLF</x:v>
      </x:c>
      <x:c r="F162" s="9" t="str">
        <x:v>长裤</x:v>
      </x:c>
      <x:c r="G162" s="9" t="str">
        <x:v>高尔夫长裤</x:v>
      </x:c>
      <x:c r="H162" s="24" t="n">
        <x:v>1932.07</x:v>
      </x:c>
      <x:c r="I162" s="25" t="e">
        <x:f>HYPERLINK("https://item.taobao.com/item.htm?id=1041226797808","打开商品")</x:f>
        <x:v>HYPERLINK is not implemented. linkLocation=https://item.taobao.com/item.htm?id=1041226797808, friendlyName=打开商品</x:v>
      </x:c>
      <x:c r="J162" s="25" t="e">
        <x:f>HYPERLINK("https://data.zhiyitech.cn/itemDetail/overview/base?itemId=1041226797808","打开知衣")</x:f>
        <x:v>HYPERLINK is not implemented. linkLocation=https://data.zhiyitech.cn/itemDetail/overview/base?itemId=1041226797808, friendlyName=打开知衣</x:v>
      </x:c>
      <x:c r="K162" s="25" t="e">
        <x:f>HYPERLINK("https://img.alicdn.com/bao/uploaded/i1/2212452067050/O1CN010d1OY79wCPC43lmS_!!4611686018427381482-0-item_pic.jpg","查看主图")</x:f>
        <x:v>HYPERLINK is not implemented. linkLocation=https://img.alicdn.com/bao/uploaded/i1/2212452067050/O1CN010d1OY79wCPC43lmS_!!4611686018427381482-0-item_pic.jpg, friendlyName=查看主图</x:v>
      </x:c>
      <x:c r="L162" s="9" t="str">
        <x:v>无明确性别信息</x:v>
      </x:c>
      <x:c r="M162" s="9" t="str">
        <x:v>高尔夫下装</x:v>
      </x:c>
      <x:c r="N162" s="9" t="str">
        <x:v>排行榜_商品榜_销售额榜_热销_运动_瑜伽_健身_球球迷用品-高尔夫裙_2025-11-01_2026-10-31(1).xlsx</x:v>
      </x:c>
      <x:c r="O162" s="9" t="str">
        <x:v>默认</x:v>
      </x:c>
      <x:c r="P162" s="9" t="n">
        <x:v>108</x:v>
      </x:c>
      <x:c r="Q162" s="9" t="str">
        <x:v>76a41cee55316a5b2ae8ed33466d173d90824bcf6f377cac0b9f7eed45c02df4</x:v>
      </x:c>
      <x:c r="R162" s="9" t="str">
        <x:v>MIX_GOLF_AVGPAID_1500_PLUS_ANNUAL2026</x:v>
      </x:c>
      <x:c r="S162" s="9" t="str">
        <x:v>排行榜_商品榜_销售额榜_热销_运动_瑜伽_健身_球球迷用品-高尔夫裙_2025-11-01_2026-10-31(1).xlsx / 默认 / 第108行 / SHA256 76a41cee55316a5b2ae8ed33466d173d90824bcf6f377cac0b9f7eed45c02df4</x:v>
      </x:c>
    </x:row>
    <x:row r="163" ht="58" customHeight="1">
      <x:c r="A163" s="23" t="str">
        <x:v>1042083776364</x:v>
      </x:c>
      <x:c r="B163" s="22"/>
      <x:c r="C163" s="22"/>
      <x:c r="D163" s="9" t="str">
        <x:v>【石昱婷同款】迪桑特高尔夫 PRO系列 防晒直筒长裤早秋新品</x:v>
      </x:c>
      <x:c r="E163" s="9" t="str">
        <x:v>DESCENTEGOLF</x:v>
      </x:c>
      <x:c r="F163" s="9" t="str">
        <x:v>长裤</x:v>
      </x:c>
      <x:c r="G163" s="9" t="str">
        <x:v>高尔夫长裤</x:v>
      </x:c>
      <x:c r="H163" s="24" t="n">
        <x:v>2111.26</x:v>
      </x:c>
      <x:c r="I163" s="25" t="e">
        <x:f>HYPERLINK("https://item.taobao.com/item.htm?id=1042083776364","打开商品")</x:f>
        <x:v>HYPERLINK is not implemented. linkLocation=https://item.taobao.com/item.htm?id=1042083776364, friendlyName=打开商品</x:v>
      </x:c>
      <x:c r="J163" s="25" t="e">
        <x:f>HYPERLINK("https://data.zhiyitech.cn/itemDetail/overview/base?itemId=1042083776364","打开知衣")</x:f>
        <x:v>HYPERLINK is not implemented. linkLocation=https://data.zhiyitech.cn/itemDetail/overview/base?itemId=1042083776364, friendlyName=打开知衣</x:v>
      </x:c>
      <x:c r="K163" s="25" t="e">
        <x:f>HYPERLINK("https://img.alicdn.com/bao/uploaded/i3/2212452067050/O1CN01i1UfTwE4qoB43lmS_!!4611686018427381482-0-item_pic.jpg","查看主图")</x:f>
        <x:v>HYPERLINK is not implemented. linkLocation=https://img.alicdn.com/bao/uploaded/i3/2212452067050/O1CN01i1UfTwE4qoB43lmS_!!4611686018427381482-0-item_pic.jpg, friendlyName=查看主图</x:v>
      </x:c>
      <x:c r="L163" s="9" t="str">
        <x:v>无明确性别信息</x:v>
      </x:c>
      <x:c r="M163" s="9" t="str">
        <x:v>高尔夫下装</x:v>
      </x:c>
      <x:c r="N163" s="9" t="str">
        <x:v>排行榜_商品榜_销售额榜_热销_运动_瑜伽_健身_球球迷用品-高尔夫裙_2025-11-01_2026-10-31(1).xlsx</x:v>
      </x:c>
      <x:c r="O163" s="9" t="str">
        <x:v>默认</x:v>
      </x:c>
      <x:c r="P163" s="9" t="n">
        <x:v>27</x:v>
      </x:c>
      <x:c r="Q163" s="9" t="str">
        <x:v>76a41cee55316a5b2ae8ed33466d173d90824bcf6f377cac0b9f7eed45c02df4</x:v>
      </x:c>
      <x:c r="R163" s="9" t="str">
        <x:v>MIX_GOLF_AVGPAID_1500_PLUS_ANNUAL2026</x:v>
      </x:c>
      <x:c r="S163" s="9" t="str">
        <x:v>排行榜_商品榜_销售额榜_热销_运动_瑜伽_健身_球球迷用品-高尔夫裙_2025-11-01_2026-10-31(1).xlsx / 默认 / 第27行 / SHA256 76a41cee55316a5b2ae8ed33466d173d90824bcf6f377cac0b9f7eed45c02df4</x:v>
      </x:c>
    </x:row>
    <x:row r="164" ht="58" customHeight="1">
      <x:c r="A164" s="23" t="str">
        <x:v>1042084048140</x:v>
      </x:c>
      <x:c r="B164" s="22"/>
      <x:c r="C164" s="22"/>
      <x:c r="D164" s="9" t="str">
        <x:v>【李昊桐同款】迪桑特高尔夫 PRO系列夏日透气长裤 新品</x:v>
      </x:c>
      <x:c r="E164" s="9" t="str">
        <x:v>DESCENTEGOLF</x:v>
      </x:c>
      <x:c r="F164" s="9" t="str">
        <x:v>长裤</x:v>
      </x:c>
      <x:c r="G164" s="9" t="str">
        <x:v>高尔夫长裤</x:v>
      </x:c>
      <x:c r="H164" s="24" t="n">
        <x:v>2328.84</x:v>
      </x:c>
      <x:c r="I164" s="25" t="e">
        <x:f>HYPERLINK("https://item.taobao.com/item.htm?id=1042084048140","打开商品")</x:f>
        <x:v>HYPERLINK is not implemented. linkLocation=https://item.taobao.com/item.htm?id=1042084048140, friendlyName=打开商品</x:v>
      </x:c>
      <x:c r="J164" s="25" t="e">
        <x:f>HYPERLINK("https://data.zhiyitech.cn/itemDetail/overview/base?itemId=1042084048140","打开知衣")</x:f>
        <x:v>HYPERLINK is not implemented. linkLocation=https://data.zhiyitech.cn/itemDetail/overview/base?itemId=1042084048140, friendlyName=打开知衣</x:v>
      </x:c>
      <x:c r="K164" s="25" t="e">
        <x:f>HYPERLINK("https://img.alicdn.com/bao/uploaded/i1/2212452067050/O1CN01FyXLkAH5wsG43lmS_!!4611686018427381482-0-item_pic.jpg","查看主图")</x:f>
        <x:v>HYPERLINK is not implemented. linkLocation=https://img.alicdn.com/bao/uploaded/i1/2212452067050/O1CN01FyXLkAH5wsG43lmS_!!4611686018427381482-0-item_pic.jpg, friendlyName=查看主图</x:v>
      </x:c>
      <x:c r="L164" s="9" t="str">
        <x:v>无明确性别信息</x:v>
      </x:c>
      <x:c r="M164" s="9" t="str">
        <x:v>高尔夫下装</x:v>
      </x:c>
      <x:c r="N164" s="9" t="str">
        <x:v>排行榜_商品榜_销售额榜_热销_运动_瑜伽_健身_球球迷用品-高尔夫裙_2025-11-01_2026-10-31(1).xlsx</x:v>
      </x:c>
      <x:c r="O164" s="9" t="str">
        <x:v>默认</x:v>
      </x:c>
      <x:c r="P164" s="9" t="n">
        <x:v>96</x:v>
      </x:c>
      <x:c r="Q164" s="9" t="str">
        <x:v>76a41cee55316a5b2ae8ed33466d173d90824bcf6f377cac0b9f7eed45c02df4</x:v>
      </x:c>
      <x:c r="R164" s="9" t="str">
        <x:v>MIX_GOLF_AVGPAID_1500_PLUS_ANNUAL2026</x:v>
      </x:c>
      <x:c r="S164" s="9" t="str">
        <x:v>排行榜_商品榜_销售额榜_热销_运动_瑜伽_健身_球球迷用品-高尔夫裙_2025-11-01_2026-10-31(1).xlsx / 默认 / 第96行 / SHA256 76a41cee55316a5b2ae8ed33466d173d90824bcf6f377cac0b9f7eed45c02df4</x:v>
      </x:c>
    </x:row>
    <x:row r="165" ht="58" customHeight="1">
      <x:c r="A165" s="23" t="str">
        <x:v>1066363968818</x:v>
      </x:c>
      <x:c r="B165" s="22"/>
      <x:c r="C165" s="22"/>
      <x:c r="D165" s="9" t="str">
        <x:v>【王馨迎同款】迪桑特高尔夫 PRO系列长裤早秋新品</x:v>
      </x:c>
      <x:c r="E165" s="9" t="str">
        <x:v>DESCENTEGOLF</x:v>
      </x:c>
      <x:c r="F165" s="9" t="str">
        <x:v>长裤</x:v>
      </x:c>
      <x:c r="G165" s="9" t="str">
        <x:v>高尔夫长裤</x:v>
      </x:c>
      <x:c r="H165" s="24" t="n">
        <x:v>2131.21</x:v>
      </x:c>
      <x:c r="I165" s="25" t="e">
        <x:f>HYPERLINK("https://item.taobao.com/item.htm?id=1066363968818","打开商品")</x:f>
        <x:v>HYPERLINK is not implemented. linkLocation=https://item.taobao.com/item.htm?id=1066363968818, friendlyName=打开商品</x:v>
      </x:c>
      <x:c r="J165" s="25" t="e">
        <x:f>HYPERLINK("https://data.zhiyitech.cn/itemDetail/overview/base?itemId=1066363968818","打开知衣")</x:f>
        <x:v>HYPERLINK is not implemented. linkLocation=https://data.zhiyitech.cn/itemDetail/overview/base?itemId=1066363968818, friendlyName=打开知衣</x:v>
      </x:c>
      <x:c r="K165" s="25" t="e">
        <x:f>HYPERLINK("https://img.alicdn.com/bao/uploaded/i4/2212452067050/O1CN01xxmgmzZWXjD43lmS_!!4611686018427381482-0-item_pic.jpg","查看主图")</x:f>
        <x:v>HYPERLINK is not implemented. linkLocation=https://img.alicdn.com/bao/uploaded/i4/2212452067050/O1CN01xxmgmzZWXjD43lmS_!!4611686018427381482-0-item_pic.jpg, friendlyName=查看主图</x:v>
      </x:c>
      <x:c r="L165" s="9" t="str">
        <x:v>无明确性别信息</x:v>
      </x:c>
      <x:c r="M165" s="9" t="str">
        <x:v>高尔夫下装</x:v>
      </x:c>
      <x:c r="N165" s="9" t="str">
        <x:v>排行榜_商品榜_销售额榜_热销_运动_瑜伽_健身_球球迷用品-高尔夫裙_2025-11-01_2026-10-31(1).xlsx</x:v>
      </x:c>
      <x:c r="O165" s="9" t="str">
        <x:v>默认</x:v>
      </x:c>
      <x:c r="P165" s="9" t="n">
        <x:v>14</x:v>
      </x:c>
      <x:c r="Q165" s="9" t="str">
        <x:v>76a41cee55316a5b2ae8ed33466d173d90824bcf6f377cac0b9f7eed45c02df4</x:v>
      </x:c>
      <x:c r="R165" s="9" t="str">
        <x:v>MIX_GOLF_AVGPAID_1500_PLUS_ANNUAL2026</x:v>
      </x:c>
      <x:c r="S165" s="9" t="str">
        <x:v>排行榜_商品榜_销售额榜_热销_运动_瑜伽_健身_球球迷用品-高尔夫裙_2025-11-01_2026-10-31(1).xlsx / 默认 / 第14行 / SHA256 76a41cee55316a5b2ae8ed33466d173d90824bcf6f377cac0b9f7eed45c02df4</x:v>
      </x:c>
    </x:row>
    <x:row r="166" ht="58" customHeight="1">
      <x:c r="A166" s="23" t="str">
        <x:v>1072258538810</x:v>
      </x:c>
      <x:c r="B166" s="22"/>
      <x:c r="C166" s="22"/>
      <x:c r="D166" s="9" t="str">
        <x:v>【可机洗羊毛混纺】DESCENTEGOLF迪桑特高尔夫S-CORE系列长裤新品</x:v>
      </x:c>
      <x:c r="E166" s="9" t="str">
        <x:v>DESCENTEGOLF</x:v>
      </x:c>
      <x:c r="F166" s="9" t="str">
        <x:v>长裤</x:v>
      </x:c>
      <x:c r="G166" s="9" t="str">
        <x:v>高尔夫长裤</x:v>
      </x:c>
      <x:c r="H166" s="24" t="n">
        <x:v>2750.5</x:v>
      </x:c>
      <x:c r="I166" s="25" t="e">
        <x:f>HYPERLINK("https://item.taobao.com/item.htm?id=1072258538810","打开商品")</x:f>
        <x:v>HYPERLINK is not implemented. linkLocation=https://item.taobao.com/item.htm?id=1072258538810, friendlyName=打开商品</x:v>
      </x:c>
      <x:c r="J166" s="25" t="e">
        <x:f>HYPERLINK("https://data.zhiyitech.cn/itemDetail/overview/base?itemId=1072258538810","打开知衣")</x:f>
        <x:v>HYPERLINK is not implemented. linkLocation=https://data.zhiyitech.cn/itemDetail/overview/base?itemId=1072258538810, friendlyName=打开知衣</x:v>
      </x:c>
      <x:c r="K166" s="25" t="e">
        <x:f>HYPERLINK("https://img.alicdn.com/bao/uploaded/i4/2212452067050/O1CN01XIPNXLkpgrF43lmS-2212452067050.jpg","查看主图")</x:f>
        <x:v>HYPERLINK is not implemented. linkLocation=https://img.alicdn.com/bao/uploaded/i4/2212452067050/O1CN01XIPNXLkpgrF43lmS-2212452067050.jpg, friendlyName=查看主图</x:v>
      </x:c>
      <x:c r="L166" s="9" t="str">
        <x:v>无明确性别信息</x:v>
      </x:c>
      <x:c r="M166" s="9" t="str">
        <x:v>高尔夫下装</x:v>
      </x:c>
      <x:c r="N166" s="9" t="str">
        <x:v>排行榜_商品榜_销售额榜_热销_运动_瑜伽_健身_球球迷用品-高尔夫裙_2025-11-01_2026-10-31(1).xlsx</x:v>
      </x:c>
      <x:c r="O166" s="9" t="str">
        <x:v>默认</x:v>
      </x:c>
      <x:c r="P166" s="9" t="n">
        <x:v>213</x:v>
      </x:c>
      <x:c r="Q166" s="9" t="str">
        <x:v>76a41cee55316a5b2ae8ed33466d173d90824bcf6f377cac0b9f7eed45c02df4</x:v>
      </x:c>
      <x:c r="R166" s="9" t="str">
        <x:v>MIX_GOLF_AVGPAID_1500_PLUS_ANNUAL2026</x:v>
      </x:c>
      <x:c r="S166" s="9" t="str">
        <x:v>排行榜_商品榜_销售额榜_热销_运动_瑜伽_健身_球球迷用品-高尔夫裙_2025-11-01_2026-10-31(1).xlsx / 默认 / 第213行 / SHA256 76a41cee55316a5b2ae8ed33466d173d90824bcf6f377cac0b9f7eed45c02df4</x:v>
      </x:c>
    </x:row>
    <x:row r="167" ht="58" customHeight="1">
      <x:c r="A167" s="23" t="str">
        <x:v>989079648891</x:v>
      </x:c>
      <x:c r="B167" s="22"/>
      <x:c r="C167" s="22"/>
      <x:c r="D167" s="9" t="str">
        <x:v>ECCOx白山联名系列 春夏运动休闲耐磨吸汗透气简约长裤 EW24AWP02</x:v>
      </x:c>
      <x:c r="E167" s="9" t="str">
        <x:v>ECCO/爱步</x:v>
      </x:c>
      <x:c r="F167" s="9" t="str">
        <x:v>长裤</x:v>
      </x:c>
      <x:c r="G167" s="9" t="str">
        <x:v>训练／运动长裤</x:v>
      </x:c>
      <x:c r="H167" s="24" t="n">
        <x:v>1300.2</x:v>
      </x:c>
      <x:c r="I167" s="25" t="e">
        <x:f>HYPERLINK("https://item.taobao.com/item.htm?id=989079648891","打开商品")</x:f>
        <x:v>HYPERLINK is not implemented. linkLocation=https://item.taobao.com/item.htm?id=989079648891, friendlyName=打开商品</x:v>
      </x:c>
      <x:c r="J167" s="25" t="e">
        <x:f>HYPERLINK("https://data.zhiyitech.cn/itemDetail/overview/base?itemId=989079648891","打开知衣")</x:f>
        <x:v>HYPERLINK is not implemented. linkLocation=https://data.zhiyitech.cn/itemDetail/overview/base?itemId=989079648891, friendlyName=打开知衣</x:v>
      </x:c>
      <x:c r="K167" s="25" t="e">
        <x:f>HYPERLINK("https://img.alicdn.com/bao/uploaded/i3/721002017/O1CN01BoeTwa1Qlq01A1V9H_!!721002017.jpg","查看主图")</x:f>
        <x:v>HYPERLINK is not implemented. linkLocation=https://img.alicdn.com/bao/uploaded/i3/721002017/O1CN01BoeTwa1Qlq01A1V9H_!!721002017.jpg, friendlyName=查看主图</x:v>
      </x:c>
      <x:c r="L167" s="9" t="str">
        <x:v>无明确性别信息</x:v>
      </x:c>
      <x:c r="M167" s="9" t="str">
        <x:v>运动下装</x:v>
      </x:c>
      <x:c r="N167" s="9" t="str">
        <x:v>排行榜_商品榜_销售额榜_热销_运动服_休闲服装-运休闲服装-跑步短裤_2025-11-01_2026-10-31 (7).xlsx</x:v>
      </x:c>
      <x:c r="O167" s="9" t="str">
        <x:v>默认</x:v>
      </x:c>
      <x:c r="P167" s="9" t="n">
        <x:v>215</x:v>
      </x:c>
      <x:c r="Q167" s="9" t="str">
        <x:v>b4959cd74b14f4314b9473c91799b973e0b2ff209bedfdac04b6266e6a5d9ce9</x:v>
      </x:c>
      <x:c r="R167" s="9" t="str">
        <x:v>MIX_SPORT_AVGPAID_1300_1400_ANNUAL2026</x:v>
      </x:c>
      <x:c r="S167" s="9" t="str">
        <x:v>排行榜_商品榜_销售额榜_热销_运动服_休闲服装-运休闲服装-跑步短裤_2025-11-01_2026-10-31 (7).xlsx / 默认 / 第215行 / SHA256 b4959cd74b14f4314b9473c91799b973e0b2ff209bedfdac04b6266e6a5d9ce9</x:v>
      </x:c>
    </x:row>
    <x:row r="168" ht="58" customHeight="1">
      <x:c r="A168" s="23" t="str">
        <x:v>1036877887871</x:v>
      </x:c>
      <x:c r="B168" s="22"/>
      <x:c r="C168" s="22"/>
      <x:c r="D168" s="9" t="str">
        <x:v>【王阳同款】斐乐商务休闲裤</x:v>
      </x:c>
      <x:c r="E168" s="9" t="str">
        <x:v>FILA/斐乐</x:v>
      </x:c>
      <x:c r="F168" s="9" t="str">
        <x:v>长裤</x:v>
      </x:c>
      <x:c r="G168" s="9" t="str">
        <x:v>训练／运动长裤</x:v>
      </x:c>
      <x:c r="H168" s="24" t="n">
        <x:v>1082</x:v>
      </x:c>
      <x:c r="I168" s="25" t="e">
        <x:f>HYPERLINK("https://item.taobao.com/item.htm?id=1036877887871","打开商品")</x:f>
        <x:v>HYPERLINK is not implemented. linkLocation=https://item.taobao.com/item.htm?id=1036877887871, friendlyName=打开商品</x:v>
      </x:c>
      <x:c r="J168" s="25" t="e">
        <x:f>HYPERLINK("https://data.zhiyitech.cn/itemDetail/overview/base?itemId=1036877887871","打开知衣")</x:f>
        <x:v>HYPERLINK is not implemented. linkLocation=https://data.zhiyitech.cn/itemDetail/overview/base?itemId=1036877887871, friendlyName=打开知衣</x:v>
      </x:c>
      <x:c r="K168" s="25" t="e">
        <x:f>HYPERLINK("https://img.alicdn.com/bao/uploaded/i2/676606897/O1CN01JIaPu220osnpV9VXK_!!4611686018427384753-0-item_pic.jpg","查看主图")</x:f>
        <x:v>HYPERLINK is not implemented. linkLocation=https://img.alicdn.com/bao/uploaded/i2/676606897/O1CN01JIaPu220osnpV9VXK_!!4611686018427384753-0-item_pic.jpg, friendlyName=查看主图</x:v>
      </x:c>
      <x:c r="L168" s="9" t="str">
        <x:v>无明确性别信息</x:v>
      </x:c>
      <x:c r="M168" s="9" t="str">
        <x:v>运动下装</x:v>
      </x:c>
      <x:c r="N168" s="9" t="str">
        <x:v>排行榜_商品榜_销售额榜_热销_运动服_休闲服装-运休闲服装-跑步短裤_2025-11-01_2026-10-31 (10).xlsx</x:v>
      </x:c>
      <x:c r="O168" s="9" t="str">
        <x:v>默认</x:v>
      </x:c>
      <x:c r="P168" s="9" t="n">
        <x:v>407</x:v>
      </x:c>
      <x:c r="Q168" s="9" t="str">
        <x:v>77c2723e3730f60e82908e61638dbb3700ba4d487e03331cf25303638bb2767e</x:v>
      </x:c>
      <x:c r="R168" s="9" t="str">
        <x:v>MIX_SPORT_AVGPAID_1000_1100_ANNUAL2026</x:v>
      </x:c>
      <x:c r="S168" s="9" t="str">
        <x:v>排行榜_商品榜_销售额榜_热销_运动服_休闲服装-运休闲服装-跑步短裤_2025-11-01_2026-10-31 (10).xlsx / 默认 / 第407行 / SHA256 77c2723e3730f60e82908e61638dbb3700ba4d487e03331cf25303638bb2767e</x:v>
      </x:c>
    </x:row>
    <x:row r="169" ht="58" customHeight="1">
      <x:c r="A169" s="23" t="str">
        <x:v>1038055740973</x:v>
      </x:c>
      <x:c r="B169" s="22"/>
      <x:c r="C169" s="22"/>
      <x:c r="D169" s="9" t="str">
        <x:v>斐乐高尔夫直口梭织长裤</x:v>
      </x:c>
      <x:c r="E169" s="9" t="str">
        <x:v>FILA/斐乐</x:v>
      </x:c>
      <x:c r="F169" s="9" t="str">
        <x:v>长裤</x:v>
      </x:c>
      <x:c r="G169" s="9" t="str">
        <x:v>高尔夫长裤</x:v>
      </x:c>
      <x:c r="H169" s="24" t="n">
        <x:v>1026.45</x:v>
      </x:c>
      <x:c r="I169" s="25" t="e">
        <x:f>HYPERLINK("https://item.taobao.com/item.htm?id=1038055740973","打开商品")</x:f>
        <x:v>HYPERLINK is not implemented. linkLocation=https://item.taobao.com/item.htm?id=1038055740973, friendlyName=打开商品</x:v>
      </x:c>
      <x:c r="J169" s="25" t="e">
        <x:f>HYPERLINK("https://data.zhiyitech.cn/itemDetail/overview/base?itemId=1038055740973","打开知衣")</x:f>
        <x:v>HYPERLINK is not implemented. linkLocation=https://data.zhiyitech.cn/itemDetail/overview/base?itemId=1038055740973, friendlyName=打开知衣</x:v>
      </x:c>
      <x:c r="K169" s="25" t="e">
        <x:f>HYPERLINK("https://img.alicdn.com/bao/uploaded/i4/2212042592041/O1CN01ad2G53TNTQB1chua-2212042592041.jpg","查看主图")</x:f>
        <x:v>HYPERLINK is not implemented. linkLocation=https://img.alicdn.com/bao/uploaded/i4/2212042592041/O1CN01ad2G53TNTQB1chua-2212042592041.jpg, friendlyName=查看主图</x:v>
      </x:c>
      <x:c r="L169" s="9" t="str">
        <x:v>无明确性别信息</x:v>
      </x:c>
      <x:c r="M169" s="9" t="str">
        <x:v>高尔夫下装</x:v>
      </x:c>
      <x:c r="N169" s="9" t="str">
        <x:v>排行榜_商品榜_销售额榜_热销_运动_瑜伽_健身_球球迷用品-高尔夫裙_2025-11-01_2026-10-31 (1).xlsx</x:v>
      </x:c>
      <x:c r="O169" s="9" t="str">
        <x:v>默认</x:v>
      </x:c>
      <x:c r="P169" s="9" t="n">
        <x:v>108</x:v>
      </x:c>
      <x:c r="Q169" s="9" t="str">
        <x:v>98ce1fb2e305663a45a2560e7bc66d02cd2f0c4c4a554f49c611b7637dfdf7ab</x:v>
      </x:c>
      <x:c r="R169" s="9" t="str">
        <x:v>MIX_GOLF_AVGPAID_1000_1500_ANNUAL2026</x:v>
      </x:c>
      <x:c r="S169" s="9" t="str">
        <x:v>排行榜_商品榜_销售额榜_热销_运动_瑜伽_健身_球球迷用品-高尔夫裙_2025-11-01_2026-10-31 (1).xlsx / 默认 / 第108行 / SHA256 98ce1fb2e305663a45a2560e7bc66d02cd2f0c4c4a554f49c611b7637dfdf7ab</x:v>
      </x:c>
    </x:row>
    <x:row r="170" ht="58" customHeight="1">
      <x:c r="A170" s="23" t="str">
        <x:v>1042784894392</x:v>
      </x:c>
      <x:c r="B170" s="22"/>
      <x:c r="C170" s="22"/>
      <x:c r="D170" s="9" t="str">
        <x:v>斐乐丨高尔夫防晒直筒裤</x:v>
      </x:c>
      <x:c r="E170" s="9" t="str">
        <x:v>FILA/斐乐</x:v>
      </x:c>
      <x:c r="F170" s="9" t="str">
        <x:v>长裤</x:v>
      </x:c>
      <x:c r="G170" s="9" t="str">
        <x:v>训练／运动长裤</x:v>
      </x:c>
      <x:c r="H170" s="24" t="n">
        <x:v>1033.2</x:v>
      </x:c>
      <x:c r="I170" s="25" t="e">
        <x:f>HYPERLINK("https://item.taobao.com/item.htm?id=1042784894392","打开商品")</x:f>
        <x:v>HYPERLINK is not implemented. linkLocation=https://item.taobao.com/item.htm?id=1042784894392, friendlyName=打开商品</x:v>
      </x:c>
      <x:c r="J170" s="25" t="e">
        <x:f>HYPERLINK("https://data.zhiyitech.cn/itemDetail/overview/base?itemId=1042784894392","打开知衣")</x:f>
        <x:v>HYPERLINK is not implemented. linkLocation=https://data.zhiyitech.cn/itemDetail/overview/base?itemId=1042784894392, friendlyName=打开知衣</x:v>
      </x:c>
      <x:c r="K170" s="25" t="e">
        <x:f>HYPERLINK("https://img.alicdn.com/bao/uploaded/i2/676606897/O1CN01tiMF0hmTH7H1chua-676606897.jpg","查看主图")</x:f>
        <x:v>HYPERLINK is not implemented. linkLocation=https://img.alicdn.com/bao/uploaded/i2/676606897/O1CN01tiMF0hmTH7H1chua-676606897.jpg, friendlyName=查看主图</x:v>
      </x:c>
      <x:c r="L170" s="9" t="str">
        <x:v>无明确性别信息</x:v>
      </x:c>
      <x:c r="M170" s="9" t="str">
        <x:v>运动下装</x:v>
      </x:c>
      <x:c r="N170" s="9" t="str">
        <x:v>排行榜_商品榜_销售额榜_热销_运动服_休闲服装-运休闲服装-跑步短裤_2025-11-01_2026-10-31 (10).xlsx</x:v>
      </x:c>
      <x:c r="O170" s="9" t="str">
        <x:v>默认</x:v>
      </x:c>
      <x:c r="P170" s="9" t="n">
        <x:v>319</x:v>
      </x:c>
      <x:c r="Q170" s="9" t="str">
        <x:v>77c2723e3730f60e82908e61638dbb3700ba4d487e03331cf25303638bb2767e</x:v>
      </x:c>
      <x:c r="R170" s="9" t="str">
        <x:v>MIX_SPORT_AVGPAID_1000_1100_ANNUAL2026</x:v>
      </x:c>
      <x:c r="S170" s="9" t="str">
        <x:v>排行榜_商品榜_销售额榜_热销_运动服_休闲服装-运休闲服装-跑步短裤_2025-11-01_2026-10-31 (10).xlsx / 默认 / 第319行 / SHA256 77c2723e3730f60e82908e61638dbb3700ba4d487e03331cf25303638bb2767e</x:v>
      </x:c>
    </x:row>
    <x:row r="171" ht="58" customHeight="1">
      <x:c r="A171" s="23" t="str">
        <x:v>1046645314331</x:v>
      </x:c>
      <x:c r="B171" s="22"/>
      <x:c r="C171" s="22"/>
      <x:c r="D171" s="9" t="str">
        <x:v>FILA 斐乐高尔夫梭织裤</x:v>
      </x:c>
      <x:c r="E171" s="9" t="str">
        <x:v>FILA/斐乐</x:v>
      </x:c>
      <x:c r="F171" s="9" t="str">
        <x:v>长裤</x:v>
      </x:c>
      <x:c r="G171" s="9" t="str">
        <x:v>高尔夫长裤</x:v>
      </x:c>
      <x:c r="H171" s="24" t="n">
        <x:v>1300</x:v>
      </x:c>
      <x:c r="I171" s="25" t="e">
        <x:f>HYPERLINK("https://item.taobao.com/item.htm?id=1046645314331","打开商品")</x:f>
        <x:v>HYPERLINK is not implemented. linkLocation=https://item.taobao.com/item.htm?id=1046645314331, friendlyName=打开商品</x:v>
      </x:c>
      <x:c r="J171" s="25" t="e">
        <x:f>HYPERLINK("https://data.zhiyitech.cn/itemDetail/overview/base?itemId=1046645314331","打开知衣")</x:f>
        <x:v>HYPERLINK is not implemented. linkLocation=https://data.zhiyitech.cn/itemDetail/overview/base?itemId=1046645314331, friendlyName=打开知衣</x:v>
      </x:c>
      <x:c r="K171" s="25" t="e">
        <x:f>HYPERLINK("https://img.alicdn.com/imgextra/i4/2212042592041/O1CN01d81Fb7WDwuG1chua-2212042592041.jpg","查看主图")</x:f>
        <x:v>HYPERLINK is not implemented. linkLocation=https://img.alicdn.com/imgextra/i4/2212042592041/O1CN01d81Fb7WDwuG1chua-2212042592041.jpg, friendlyName=查看主图</x:v>
      </x:c>
      <x:c r="L171" s="9" t="str">
        <x:v>无明确性别信息</x:v>
      </x:c>
      <x:c r="M171" s="9" t="str">
        <x:v>高尔夫下装</x:v>
      </x:c>
      <x:c r="N171" s="9" t="str">
        <x:v>排行榜_商品榜_销售额榜_热销_运动_瑜伽_健身_球球迷用品-高尔夫裙_2025-11-01_2026-10-31 (1).xlsx</x:v>
      </x:c>
      <x:c r="O171" s="9" t="str">
        <x:v>默认</x:v>
      </x:c>
      <x:c r="P171" s="9" t="n">
        <x:v>223</x:v>
      </x:c>
      <x:c r="Q171" s="9" t="str">
        <x:v>98ce1fb2e305663a45a2560e7bc66d02cd2f0c4c4a554f49c611b7637dfdf7ab</x:v>
      </x:c>
      <x:c r="R171" s="9" t="str">
        <x:v>MIX_GOLF_AVGPAID_1000_1500_ANNUAL2026</x:v>
      </x:c>
      <x:c r="S171" s="9" t="str">
        <x:v>排行榜_商品榜_销售额榜_热销_运动_瑜伽_健身_球球迷用品-高尔夫裙_2025-11-01_2026-10-31 (1).xlsx / 默认 / 第223行 / SHA256 98ce1fb2e305663a45a2560e7bc66d02cd2f0c4c4a554f49c611b7637dfdf7ab</x:v>
      </x:c>
    </x:row>
    <x:row r="172" ht="58" customHeight="1">
      <x:c r="A172" s="23" t="str">
        <x:v>1068587511391</x:v>
      </x:c>
      <x:c r="B172" s="22"/>
      <x:c r="C172" s="22"/>
      <x:c r="D172" s="9" t="str">
        <x:v>斐乐舒适柔软针织长裤</x:v>
      </x:c>
      <x:c r="E172" s="9" t="str">
        <x:v>FILA/斐乐</x:v>
      </x:c>
      <x:c r="F172" s="9" t="str">
        <x:v>长裤</x:v>
      </x:c>
      <x:c r="G172" s="9" t="str">
        <x:v>训练／运动长裤</x:v>
      </x:c>
      <x:c r="H172" s="24" t="n">
        <x:v>1155.96</x:v>
      </x:c>
      <x:c r="I172" s="25" t="e">
        <x:f>HYPERLINK("https://item.taobao.com/item.htm?id=1068587511391","打开商品")</x:f>
        <x:v>HYPERLINK is not implemented. linkLocation=https://item.taobao.com/item.htm?id=1068587511391, friendlyName=打开商品</x:v>
      </x:c>
      <x:c r="J172" s="25" t="e">
        <x:f>HYPERLINK("https://data.zhiyitech.cn/itemDetail/overview/base?itemId=1068587511391","打开知衣")</x:f>
        <x:v>HYPERLINK is not implemented. linkLocation=https://data.zhiyitech.cn/itemDetail/overview/base?itemId=1068587511391, friendlyName=打开知衣</x:v>
      </x:c>
      <x:c r="K172" s="25" t="e">
        <x:f>HYPERLINK("https://img.alicdn.com/bao/uploaded/i2/676606897/O1CN01FnGcpMOs7WJ1chua_!!4611686018427384753-0-item_pic.jpg","查看主图")</x:f>
        <x:v>HYPERLINK is not implemented. linkLocation=https://img.alicdn.com/bao/uploaded/i2/676606897/O1CN01FnGcpMOs7WJ1chua_!!4611686018427384753-0-item_pic.jpg, friendlyName=查看主图</x:v>
      </x:c>
      <x:c r="L172" s="9" t="str">
        <x:v>无明确性别信息</x:v>
      </x:c>
      <x:c r="M172" s="9" t="str">
        <x:v>运动下装</x:v>
      </x:c>
      <x:c r="N172" s="9" t="str">
        <x:v>排行榜_商品榜_销售额榜_热销_运动服_休闲服装-运休闲服装-跑步短裤_2025-11-01_2026-10-31 (9).xlsx</x:v>
      </x:c>
      <x:c r="O172" s="9" t="str">
        <x:v>默认</x:v>
      </x:c>
      <x:c r="P172" s="9" t="n">
        <x:v>299</x:v>
      </x:c>
      <x:c r="Q172" s="9" t="str">
        <x:v>bf4c13b761e645dc5b709fecfe2eba562c597469bada8d60d13514dd26d590ba</x:v>
      </x:c>
      <x:c r="R172" s="9" t="str">
        <x:v>MIX_SPORT_AVGPAID_1100_1200_ANNUAL2026</x:v>
      </x:c>
      <x:c r="S172" s="9" t="str">
        <x:v>排行榜_商品榜_销售额榜_热销_运动服_休闲服装-运休闲服装-跑步短裤_2025-11-01_2026-10-31 (9).xlsx / 默认 / 第299行 / SHA256 bf4c13b761e645dc5b709fecfe2eba562c597469bada8d60d13514dd26d590ba</x:v>
      </x:c>
    </x:row>
    <x:row r="173" ht="58" customHeight="1">
      <x:c r="A173" s="23" t="str">
        <x:v>1085961325120</x:v>
      </x:c>
      <x:c r="B173" s="22"/>
      <x:c r="C173" s="22"/>
      <x:c r="D173" s="9" t="str">
        <x:v>斐乐高弹裤丨防泼水加绒裤子</x:v>
      </x:c>
      <x:c r="E173" s="9" t="str">
        <x:v>FILA/斐乐</x:v>
      </x:c>
      <x:c r="F173" s="9" t="str">
        <x:v>长裤</x:v>
      </x:c>
      <x:c r="G173" s="9" t="str">
        <x:v>训练／运动长裤</x:v>
      </x:c>
      <x:c r="H173" s="24" t="n">
        <x:v>1428</x:v>
      </x:c>
      <x:c r="I173" s="25" t="e">
        <x:f>HYPERLINK("https://item.taobao.com/item.htm?id=1085961325120","打开商品")</x:f>
        <x:v>HYPERLINK is not implemented. linkLocation=https://item.taobao.com/item.htm?id=1085961325120, friendlyName=打开商品</x:v>
      </x:c>
      <x:c r="J173" s="25" t="e">
        <x:f>HYPERLINK("https://data.zhiyitech.cn/itemDetail/overview/base?itemId=1085961325120","打开知衣")</x:f>
        <x:v>HYPERLINK is not implemented. linkLocation=https://data.zhiyitech.cn/itemDetail/overview/base?itemId=1085961325120, friendlyName=打开知衣</x:v>
      </x:c>
      <x:c r="K173" s="25" t="e">
        <x:f>HYPERLINK("https://img.alicdn.com/imgextra/i2/676606897/O1CN01suu0Fu8k26D1chua-676606897.jpg","查看主图")</x:f>
        <x:v>HYPERLINK is not implemented. linkLocation=https://img.alicdn.com/imgextra/i2/676606897/O1CN01suu0Fu8k26D1chua-676606897.jpg, friendlyName=查看主图</x:v>
      </x:c>
      <x:c r="L173" s="9" t="str">
        <x:v>无明确性别信息</x:v>
      </x:c>
      <x:c r="M173" s="9" t="str">
        <x:v>运动下装</x:v>
      </x:c>
      <x:c r="N173" s="9" t="str">
        <x:v>排行榜_商品榜_销售额榜_热销_运动服_休闲服装-运休闲服装-跑步短裤_2025-11-01_2026-10-31 (6).xlsx</x:v>
      </x:c>
      <x:c r="O173" s="9" t="str">
        <x:v>默认</x:v>
      </x:c>
      <x:c r="P173" s="9" t="n">
        <x:v>97</x:v>
      </x:c>
      <x:c r="Q173" s="9" t="str">
        <x:v>51c5baf852346f6326f6a242f8205ac9db74e4145a36be5e01e3352750e8cecc</x:v>
      </x:c>
      <x:c r="R173" s="9" t="str">
        <x:v>MIX_SPORT_AVGPAID_1400_1500_ANNUAL2026</x:v>
      </x:c>
      <x:c r="S173" s="9" t="str">
        <x:v>排行榜_商品榜_销售额榜_热销_运动服_休闲服装-运休闲服装-跑步短裤_2025-11-01_2026-10-31 (6).xlsx / 默认 / 第97行 / SHA256 51c5baf852346f6326f6a242f8205ac9db74e4145a36be5e01e3352750e8cecc</x:v>
      </x:c>
    </x:row>
    <x:row r="174" ht="58" customHeight="1">
      <x:c r="A174" s="23" t="str">
        <x:v>1094903380029</x:v>
      </x:c>
      <x:c r="B174" s="22"/>
      <x:c r="C174" s="22"/>
      <x:c r="D174" s="9" t="str">
        <x:v>HM运动服运动裤2026秋季新款StormMove™滑雪裤长裤1349259</x:v>
      </x:c>
      <x:c r="E174" s="9" t="str">
        <x:v>H&amp;M</x:v>
      </x:c>
      <x:c r="F174" s="9" t="str">
        <x:v>长裤</x:v>
      </x:c>
      <x:c r="G174" s="9" t="str">
        <x:v>滑雪裤（专项）</x:v>
      </x:c>
      <x:c r="H174" s="24" t="n">
        <x:v>1049.26</x:v>
      </x:c>
      <x:c r="I174" s="25" t="e">
        <x:f>HYPERLINK("https://item.taobao.com/item.htm?id=1094903380029","打开商品")</x:f>
        <x:v>HYPERLINK is not implemented. linkLocation=https://item.taobao.com/item.htm?id=1094903380029, friendlyName=打开商品</x:v>
      </x:c>
      <x:c r="J174" s="25" t="e">
        <x:f>HYPERLINK("https://data.zhiyitech.cn/itemDetail/overview/base?itemId=1094903380029","打开知衣")</x:f>
        <x:v>HYPERLINK is not implemented. linkLocation=https://data.zhiyitech.cn/itemDetail/overview/base?itemId=1094903380029, friendlyName=打开知衣</x:v>
      </x:c>
      <x:c r="K174" s="25" t="e">
        <x:f>HYPERLINK("https://img.alicdn.com/bao/uploaded/i2/3676232520/O1CN01IVDZQKrnDZF2b8G8_!!4611686018427386696-0-item_pic.jpg","查看主图")</x:f>
        <x:v>HYPERLINK is not implemented. linkLocation=https://img.alicdn.com/bao/uploaded/i2/3676232520/O1CN01IVDZQKrnDZF2b8G8_!!4611686018427386696-0-item_pic.jpg, friendlyName=查看主图</x:v>
      </x:c>
      <x:c r="L174" s="9" t="str">
        <x:v>无明确性别信息</x:v>
      </x:c>
      <x:c r="M174" s="9" t="str">
        <x:v>运动下装</x:v>
      </x:c>
      <x:c r="N174" s="9" t="str">
        <x:v>排行榜_商品榜_销售额榜_热销_运动服_休闲服装-运休闲服装-跑步短裤_2025-11-01_2026-10-31 (10).xlsx</x:v>
      </x:c>
      <x:c r="O174" s="9" t="str">
        <x:v>默认</x:v>
      </x:c>
      <x:c r="P174" s="9" t="n">
        <x:v>261</x:v>
      </x:c>
      <x:c r="Q174" s="9" t="str">
        <x:v>77c2723e3730f60e82908e61638dbb3700ba4d487e03331cf25303638bb2767e</x:v>
      </x:c>
      <x:c r="R174" s="9" t="str">
        <x:v>MIX_SPORT_AVGPAID_1000_1100_ANNUAL2026</x:v>
      </x:c>
      <x:c r="S174" s="9" t="str">
        <x:v>排行榜_商品榜_销售额榜_热销_运动服_休闲服装-运休闲服装-跑步短裤_2025-11-01_2026-10-31 (10).xlsx / 默认 / 第261行 / SHA256 77c2723e3730f60e82908e61638dbb3700ba4d487e03331cf25303638bb2767e</x:v>
      </x:c>
    </x:row>
    <x:row r="175" ht="58" customHeight="1">
      <x:c r="A175" s="23" t="str">
        <x:v>842184427802</x:v>
      </x:c>
      <x:c r="B175" s="22"/>
      <x:c r="C175" s="22"/>
      <x:c r="D175" s="9" t="str">
        <x:v>HEAD海德防泼水户外运动梭织长裤</x:v>
      </x:c>
      <x:c r="E175" s="9" t="str">
        <x:v>HEAD/海德</x:v>
      </x:c>
      <x:c r="F175" s="9" t="str">
        <x:v>长裤</x:v>
      </x:c>
      <x:c r="G175" s="9" t="str">
        <x:v>训练／运动长裤</x:v>
      </x:c>
      <x:c r="H175" s="24" t="n">
        <x:v>1443.44</x:v>
      </x:c>
      <x:c r="I175" s="25" t="e">
        <x:f>HYPERLINK("https://item.taobao.com/item.htm?id=842184427802","打开商品")</x:f>
        <x:v>HYPERLINK is not implemented. linkLocation=https://item.taobao.com/item.htm?id=842184427802, friendlyName=打开商品</x:v>
      </x:c>
      <x:c r="J175" s="25" t="e">
        <x:f>HYPERLINK("https://data.zhiyitech.cn/itemDetail/overview/base?itemId=842184427802","打开知衣")</x:f>
        <x:v>HYPERLINK is not implemented. linkLocation=https://data.zhiyitech.cn/itemDetail/overview/base?itemId=842184427802, friendlyName=打开知衣</x:v>
      </x:c>
      <x:c r="K175" s="25" t="e">
        <x:f>HYPERLINK("https://img.alicdn.com/bao/uploaded/i1/2213197499854/O1CN01tnuKFQ2MfBpWvDIzY_!!0-item_pic.jpg","查看主图")</x:f>
        <x:v>HYPERLINK is not implemented. linkLocation=https://img.alicdn.com/bao/uploaded/i1/2213197499854/O1CN01tnuKFQ2MfBpWvDIzY_!!0-item_pic.jpg, friendlyName=查看主图</x:v>
      </x:c>
      <x:c r="L175" s="9" t="str">
        <x:v>无明确性别信息</x:v>
      </x:c>
      <x:c r="M175" s="9" t="str">
        <x:v>运动下装</x:v>
      </x:c>
      <x:c r="N175" s="9" t="str">
        <x:v>排行榜_商品榜_销售额榜_热销_运动服_休闲服装-运休闲服装-跑步短裤_2025-11-01_2026-10-31 (6).xlsx</x:v>
      </x:c>
      <x:c r="O175" s="9" t="str">
        <x:v>默认</x:v>
      </x:c>
      <x:c r="P175" s="9" t="n">
        <x:v>28</x:v>
      </x:c>
      <x:c r="Q175" s="9" t="str">
        <x:v>51c5baf852346f6326f6a242f8205ac9db74e4145a36be5e01e3352750e8cecc</x:v>
      </x:c>
      <x:c r="R175" s="9" t="str">
        <x:v>MIX_SPORT_AVGPAID_1400_1500_ANNUAL2026</x:v>
      </x:c>
      <x:c r="S175" s="9" t="str">
        <x:v>排行榜_商品榜_销售额榜_热销_运动服_休闲服装-运休闲服装-跑步短裤_2025-11-01_2026-10-31 (6).xlsx / 默认 / 第28行 / SHA256 51c5baf852346f6326f6a242f8205ac9db74e4145a36be5e01e3352750e8cecc</x:v>
      </x:c>
    </x:row>
    <x:row r="176" ht="58" customHeight="1">
      <x:c r="A176" s="23" t="str">
        <x:v>796172406716</x:v>
      </x:c>
      <x:c r="B176" s="22"/>
      <x:c r="C176" s="22"/>
      <x:c r="D176" s="9" t="str">
        <x:v>MNxMASTERMIND联名经典束脚卫裤</x:v>
      </x:c>
      <x:c r="E176" s="9" t="str">
        <x:v>MITCHELL&amp;NESS</x:v>
      </x:c>
      <x:c r="F176" s="9" t="str">
        <x:v>长裤</x:v>
      </x:c>
      <x:c r="G176" s="9" t="str">
        <x:v>训练／运动长裤</x:v>
      </x:c>
      <x:c r="H176" s="24" t="n">
        <x:v>1633.5</x:v>
      </x:c>
      <x:c r="I176" s="25" t="e">
        <x:f>HYPERLINK("https://item.taobao.com/item.htm?id=796172406716","打开商品")</x:f>
        <x:v>HYPERLINK is not implemented. linkLocation=https://item.taobao.com/item.htm?id=796172406716, friendlyName=打开商品</x:v>
      </x:c>
      <x:c r="J176" s="25" t="e">
        <x:f>HYPERLINK("https://data.zhiyitech.cn/itemDetail/overview/base?itemId=796172406716","打开知衣")</x:f>
        <x:v>HYPERLINK is not implemented. linkLocation=https://data.zhiyitech.cn/itemDetail/overview/base?itemId=796172406716, friendlyName=打开知衣</x:v>
      </x:c>
      <x:c r="K176" s="25" t="e">
        <x:f>HYPERLINK("https://img.alicdn.com/bao/uploaded/i3/3522891842/O1CN01kzjwJJ1PTghZ1MV0W_!!3522891842.jpg","查看主图")</x:f>
        <x:v>HYPERLINK is not implemented. linkLocation=https://img.alicdn.com/bao/uploaded/i3/3522891842/O1CN01kzjwJJ1PTghZ1MV0W_!!3522891842.jpg, friendlyName=查看主图</x:v>
      </x:c>
      <x:c r="L176" s="9" t="str">
        <x:v>无明确性别信息</x:v>
      </x:c>
      <x:c r="M176" s="9" t="str">
        <x:v>运动下装</x:v>
      </x:c>
      <x:c r="N176" s="9" t="str">
        <x:v>排行榜_商品榜_销售额榜_热销_运动服_休闲服装-运休闲服装-跑步短裤_2025-11-01_2026-10-31 (4).xlsx</x:v>
      </x:c>
      <x:c r="O176" s="9" t="str">
        <x:v>默认</x:v>
      </x:c>
      <x:c r="P176" s="9" t="n">
        <x:v>40</x:v>
      </x:c>
      <x:c r="Q176" s="9" t="str">
        <x:v>f87107da07f2a69cacdf5d1934c6ee6199ee509824961182157054c4707072d8</x:v>
      </x:c>
      <x:c r="R176" s="9" t="str">
        <x:v>MIX_SPORT_AVGPAID_1600_1700_ANNUAL2026</x:v>
      </x:c>
      <x:c r="S176" s="9" t="str">
        <x:v>排行榜_商品榜_销售额榜_热销_运动服_休闲服装-运休闲服装-跑步短裤_2025-11-01_2026-10-31 (4).xlsx / 默认 / 第40行 / SHA256 f87107da07f2a69cacdf5d1934c6ee6199ee509824961182157054c4707072d8</x:v>
      </x:c>
    </x:row>
    <x:row r="177" ht="58" customHeight="1">
      <x:c r="A177" s="23" t="str">
        <x:v>816680620054</x:v>
      </x:c>
      <x:c r="B177" s="22"/>
      <x:c r="C177" s="22"/>
      <x:c r="D177" s="9" t="str">
        <x:v>New Balance百搭舒适梭织长裤</x:v>
      </x:c>
      <x:c r="E177" s="9" t="str">
        <x:v>NEW BALANCE</x:v>
      </x:c>
      <x:c r="F177" s="9" t="str">
        <x:v>长裤</x:v>
      </x:c>
      <x:c r="G177" s="9" t="str">
        <x:v>训练／运动长裤</x:v>
      </x:c>
      <x:c r="H177" s="24" t="n">
        <x:v>1141.32</x:v>
      </x:c>
      <x:c r="I177" s="25" t="e">
        <x:f>HYPERLINK("https://item.taobao.com/item.htm?id=816680620054","打开商品")</x:f>
        <x:v>HYPERLINK is not implemented. linkLocation=https://item.taobao.com/item.htm?id=816680620054, friendlyName=打开商品</x:v>
      </x:c>
      <x:c r="J177" s="25" t="e">
        <x:f>HYPERLINK("https://data.zhiyitech.cn/itemDetail/overview/base?itemId=816680620054","打开知衣")</x:f>
        <x:v>HYPERLINK is not implemented. linkLocation=https://data.zhiyitech.cn/itemDetail/overview/base?itemId=816680620054, friendlyName=打开知衣</x:v>
      </x:c>
      <x:c r="K177" s="25" t="e">
        <x:f>HYPERLINK("https://img.alicdn.com/bao/uploaded/i4/520557274/O1CN01gu4aEw23bY5sUpyNW_!!520557274.jpg","查看主图")</x:f>
        <x:v>HYPERLINK is not implemented. linkLocation=https://img.alicdn.com/bao/uploaded/i4/520557274/O1CN01gu4aEw23bY5sUpyNW_!!520557274.jpg, friendlyName=查看主图</x:v>
      </x:c>
      <x:c r="L177" s="9" t="str">
        <x:v>无明确性别信息</x:v>
      </x:c>
      <x:c r="M177" s="9" t="str">
        <x:v>运动下装</x:v>
      </x:c>
      <x:c r="N177" s="9" t="str">
        <x:v>排行榜_商品榜_销售额榜_热销_运动服_休闲服装-运休闲服装-跑步短裤_2025-11-01_2026-10-31 (9).xlsx</x:v>
      </x:c>
      <x:c r="O177" s="9" t="str">
        <x:v>默认</x:v>
      </x:c>
      <x:c r="P177" s="9" t="n">
        <x:v>314</x:v>
      </x:c>
      <x:c r="Q177" s="9" t="str">
        <x:v>bf4c13b761e645dc5b709fecfe2eba562c597469bada8d60d13514dd26d590ba</x:v>
      </x:c>
      <x:c r="R177" s="9" t="str">
        <x:v>MIX_SPORT_AVGPAID_1100_1200_ANNUAL2026</x:v>
      </x:c>
      <x:c r="S177" s="9" t="str">
        <x:v>排行榜_商品榜_销售额榜_热销_运动服_休闲服装-运休闲服装-跑步短裤_2025-11-01_2026-10-31 (9).xlsx / 默认 / 第314行 / SHA256 bf4c13b761e645dc5b709fecfe2eba562c597469bada8d60d13514dd26d590ba</x:v>
      </x:c>
    </x:row>
    <x:row r="178" ht="58" customHeight="1">
      <x:c r="A178" s="23" t="str">
        <x:v>876379867510</x:v>
      </x:c>
      <x:c r="B178" s="22"/>
      <x:c r="C178" s="22"/>
      <x:c r="D178" s="9" t="str">
        <x:v>NEW BALANCE NB官方休闲长裤</x:v>
      </x:c>
      <x:c r="E178" s="9" t="str">
        <x:v>NEW BALANCE</x:v>
      </x:c>
      <x:c r="F178" s="9" t="str">
        <x:v>长裤</x:v>
      </x:c>
      <x:c r="G178" s="9" t="str">
        <x:v>训练／运动长裤</x:v>
      </x:c>
      <x:c r="H178" s="24" t="n">
        <x:v>1243.84</x:v>
      </x:c>
      <x:c r="I178" s="25" t="e">
        <x:f>HYPERLINK("https://item.taobao.com/item.htm?id=876379867510","打开商品")</x:f>
        <x:v>HYPERLINK is not implemented. linkLocation=https://item.taobao.com/item.htm?id=876379867510, friendlyName=打开商品</x:v>
      </x:c>
      <x:c r="J178" s="25" t="e">
        <x:f>HYPERLINK("https://data.zhiyitech.cn/itemDetail/overview/base?itemId=876379867510","打开知衣")</x:f>
        <x:v>HYPERLINK is not implemented. linkLocation=https://data.zhiyitech.cn/itemDetail/overview/base?itemId=876379867510, friendlyName=打开知衣</x:v>
      </x:c>
      <x:c r="K178" s="25" t="e">
        <x:f>HYPERLINK("https://img.alicdn.com/bao/uploaded/i4/520557274/O1CN01cwHE9e23bY5rDShgo_!!520557274.jpg","查看主图")</x:f>
        <x:v>HYPERLINK is not implemented. linkLocation=https://img.alicdn.com/bao/uploaded/i4/520557274/O1CN01cwHE9e23bY5rDShgo_!!520557274.jpg, friendlyName=查看主图</x:v>
      </x:c>
      <x:c r="L178" s="9" t="str">
        <x:v>无明确性别信息</x:v>
      </x:c>
      <x:c r="M178" s="9" t="str">
        <x:v>运动下装</x:v>
      </x:c>
      <x:c r="N178" s="9" t="str">
        <x:v>排行榜_商品榜_销售额榜_热销_运动服_休闲服装-运休闲服装-跑步短裤_2025-11-01_2026-10-31 (8).xlsx</x:v>
      </x:c>
      <x:c r="O178" s="9" t="str">
        <x:v>默认</x:v>
      </x:c>
      <x:c r="P178" s="9" t="n">
        <x:v>164</x:v>
      </x:c>
      <x:c r="Q178" s="9" t="str">
        <x:v>188467edd382ec56460cb456b88a35e4bc41edeb6d84588a2971ef0bea45a429</x:v>
      </x:c>
      <x:c r="R178" s="9" t="str">
        <x:v>MIX_SPORT_AVGPAID_1200_1300_ANNUAL2026</x:v>
      </x:c>
      <x:c r="S178" s="9" t="str">
        <x:v>排行榜_商品榜_销售额榜_热销_运动服_休闲服装-运休闲服装-跑步短裤_2025-11-01_2026-10-31 (8).xlsx / 默认 / 第164行 / SHA256 188467edd382ec56460cb456b88a35e4bc41edeb6d84588a2971ef0bea45a429</x:v>
      </x:c>
    </x:row>
    <x:row r="179" ht="58" customHeight="1">
      <x:c r="A179" s="23" t="str">
        <x:v>885810039258</x:v>
      </x:c>
      <x:c r="B179" s="22"/>
      <x:c r="C179" s="22"/>
      <x:c r="D179" s="9" t="str">
        <x:v>NEW BALANCE NB官方运动长裤</x:v>
      </x:c>
      <x:c r="E179" s="9" t="str">
        <x:v>NEW BALANCE</x:v>
      </x:c>
      <x:c r="F179" s="9" t="str">
        <x:v>长裤</x:v>
      </x:c>
      <x:c r="G179" s="9" t="str">
        <x:v>训练／运动长裤</x:v>
      </x:c>
      <x:c r="H179" s="24" t="n">
        <x:v>1532.07</x:v>
      </x:c>
      <x:c r="I179" s="25" t="e">
        <x:f>HYPERLINK("https://item.taobao.com/item.htm?id=885810039258","打开商品")</x:f>
        <x:v>HYPERLINK is not implemented. linkLocation=https://item.taobao.com/item.htm?id=885810039258, friendlyName=打开商品</x:v>
      </x:c>
      <x:c r="J179" s="25" t="e">
        <x:f>HYPERLINK("https://data.zhiyitech.cn/itemDetail/overview/base?itemId=885810039258","打开知衣")</x:f>
        <x:v>HYPERLINK is not implemented. linkLocation=https://data.zhiyitech.cn/itemDetail/overview/base?itemId=885810039258, friendlyName=打开知衣</x:v>
      </x:c>
      <x:c r="K179" s="25" t="e">
        <x:f>HYPERLINK("https://img.alicdn.com/bao/uploaded/i3/520557274/O1CN017SNJ1a23bY8h8pHwy_!!520557274.jpg","查看主图")</x:f>
        <x:v>HYPERLINK is not implemented. linkLocation=https://img.alicdn.com/bao/uploaded/i3/520557274/O1CN017SNJ1a23bY8h8pHwy_!!520557274.jpg, friendlyName=查看主图</x:v>
      </x:c>
      <x:c r="L179" s="9" t="str">
        <x:v>无明确性别信息</x:v>
      </x:c>
      <x:c r="M179" s="9" t="str">
        <x:v>运动下装</x:v>
      </x:c>
      <x:c r="N179" s="9" t="str">
        <x:v>排行榜_商品榜_销售额榜_热销_运动服_休闲服装-运休闲服装-跑步短裤_2025-11-01_2026-10-31 (5).xlsx</x:v>
      </x:c>
      <x:c r="O179" s="9" t="str">
        <x:v>默认</x:v>
      </x:c>
      <x:c r="P179" s="9" t="n">
        <x:v>55</x:v>
      </x:c>
      <x:c r="Q179" s="9" t="str">
        <x:v>9ad7424665e3f8b592ed8cec3e99707eea5b9bd2316d324ab5977c56b4039ec9</x:v>
      </x:c>
      <x:c r="R179" s="9" t="str">
        <x:v>MIX_SPORT_AVGPAID_1500_1600_ANNUAL2026</x:v>
      </x:c>
      <x:c r="S179" s="9" t="str">
        <x:v>排行榜_商品榜_销售额榜_热销_运动服_休闲服装-运休闲服装-跑步短裤_2025-11-01_2026-10-31 (5).xlsx / 默认 / 第55行 / SHA256 9ad7424665e3f8b592ed8cec3e99707eea5b9bd2316d324ab5977c56b4039ec9</x:v>
      </x:c>
    </x:row>
    <x:row r="180" ht="58" customHeight="1">
      <x:c r="A180" s="23" t="str">
        <x:v>557399369895</x:v>
      </x:c>
      <x:c r="B180" s="22"/>
      <x:c r="C180" s="22"/>
      <x:c r="D180" s="9" t="str">
        <x:v>NIKELAB ACG CARGO PANTS COOL GREY GRAY 机能长裤</x:v>
      </x:c>
      <x:c r="E180" s="9" t="str">
        <x:v>NIKE/耐克</x:v>
      </x:c>
      <x:c r="F180" s="9" t="str">
        <x:v>长裤</x:v>
      </x:c>
      <x:c r="G180" s="9" t="str">
        <x:v>训练／运动长裤</x:v>
      </x:c>
      <x:c r="H180" s="24" t="n">
        <x:v>1899</x:v>
      </x:c>
      <x:c r="I180" s="25" t="e">
        <x:f>HYPERLINK("https://item.taobao.com/item.htm?id=557399369895","打开商品")</x:f>
        <x:v>HYPERLINK is not implemented. linkLocation=https://item.taobao.com/item.htm?id=557399369895, friendlyName=打开商品</x:v>
      </x:c>
      <x:c r="J180" s="25" t="e">
        <x:f>HYPERLINK("https://data.zhiyitech.cn/itemDetail/overview/base?itemId=557399369895","打开知衣")</x:f>
        <x:v>HYPERLINK is not implemented. linkLocation=https://data.zhiyitech.cn/itemDetail/overview/base?itemId=557399369895, friendlyName=打开知衣</x:v>
      </x:c>
      <x:c r="K180" s="25" t="e">
        <x:f>HYPERLINK("https://img.alicdn.com/bao/uploaded/i3/270024999/TB2GjGwalbM8KJjSZFFXXaynpXa_!!270024999.jpg","查看主图")</x:f>
        <x:v>HYPERLINK is not implemented. linkLocation=https://img.alicdn.com/bao/uploaded/i3/270024999/TB2GjGwalbM8KJjSZFFXXaynpXa_!!270024999.jpg, friendlyName=查看主图</x:v>
      </x:c>
      <x:c r="L180" s="9" t="str">
        <x:v>无明确性别信息</x:v>
      </x:c>
      <x:c r="M180" s="9" t="str">
        <x:v>运动下装</x:v>
      </x:c>
      <x:c r="N180" s="9" t="str">
        <x:v>排行榜_商品榜_销售额榜_热销_运动服_休闲服装-运休闲服装-跑步短裤_2025-11-01_2026-10-31 (2).xlsx</x:v>
      </x:c>
      <x:c r="O180" s="9" t="str">
        <x:v>默认</x:v>
      </x:c>
      <x:c r="P180" s="9" t="n">
        <x:v>32</x:v>
      </x:c>
      <x:c r="Q180" s="9" t="str">
        <x:v>d4303838acbe96e5d87b9779c87272c941a19ebdcbae2ed4b34c418160904013</x:v>
      </x:c>
      <x:c r="R180" s="9" t="str">
        <x:v>MIX_SPORT_AVGPAID_1800_1900_ANNUAL2026</x:v>
      </x:c>
      <x:c r="S180" s="9" t="str">
        <x:v>排行榜_商品榜_销售额榜_热销_运动服_休闲服装-运休闲服装-跑步短裤_2025-11-01_2026-10-31 (2).xlsx / 默认 / 第32行 / SHA256 d4303838acbe96e5d87b9779c87272c941a19ebdcbae2ed4b34c418160904013</x:v>
      </x:c>
    </x:row>
    <x:row r="181" ht="58" customHeight="1">
      <x:c r="A181" s="23" t="str">
        <x:v>745446296939</x:v>
      </x:c>
      <x:c r="B181" s="22"/>
      <x:c r="C181" s="22"/>
      <x:c r="D181" s="9" t="str">
        <x:v>现货 NikeLab  ACG Cargo Pants光头联名机能工装 防水九分裤长裤</x:v>
      </x:c>
      <x:c r="E181" s="9" t="str">
        <x:v>NIKE/耐克</x:v>
      </x:c>
      <x:c r="F181" s="9" t="str">
        <x:v>长裤</x:v>
      </x:c>
      <x:c r="G181" s="9" t="str">
        <x:v>中长裤／九分裤</x:v>
      </x:c>
      <x:c r="H181" s="24" t="n">
        <x:v>1100.1</x:v>
      </x:c>
      <x:c r="I181" s="25" t="e">
        <x:f>HYPERLINK("https://item.taobao.com/item.htm?id=745446296939","打开商品")</x:f>
        <x:v>HYPERLINK is not implemented. linkLocation=https://item.taobao.com/item.htm?id=745446296939, friendlyName=打开商品</x:v>
      </x:c>
      <x:c r="J181" s="25" t="e">
        <x:f>HYPERLINK("https://data.zhiyitech.cn/itemDetail/overview/base?itemId=745446296939","打开知衣")</x:f>
        <x:v>HYPERLINK is not implemented. linkLocation=https://data.zhiyitech.cn/itemDetail/overview/base?itemId=745446296939, friendlyName=打开知衣</x:v>
      </x:c>
      <x:c r="K181" s="25" t="e">
        <x:f>HYPERLINK("https://img.alicdn.com/bao/uploaded/i3/742780964/O1CN01SddT5k1IzYZ2o6Ztu_!!742780964.jpg","查看主图")</x:f>
        <x:v>HYPERLINK is not implemented. linkLocation=https://img.alicdn.com/bao/uploaded/i3/742780964/O1CN01SddT5k1IzYZ2o6Ztu_!!742780964.jpg, friendlyName=查看主图</x:v>
      </x:c>
      <x:c r="L181" s="9" t="str">
        <x:v>无明确性别信息</x:v>
      </x:c>
      <x:c r="M181" s="9" t="str">
        <x:v>运动下装</x:v>
      </x:c>
      <x:c r="N181" s="9" t="str">
        <x:v>排行榜_商品榜_销售额榜_热销_运动服_休闲服装-运休闲服装-跑步短裤_2025-11-01_2026-10-31 (9).xlsx</x:v>
      </x:c>
      <x:c r="O181" s="9" t="str">
        <x:v>默认</x:v>
      </x:c>
      <x:c r="P181" s="9" t="n">
        <x:v>412</x:v>
      </x:c>
      <x:c r="Q181" s="9" t="str">
        <x:v>bf4c13b761e645dc5b709fecfe2eba562c597469bada8d60d13514dd26d590ba</x:v>
      </x:c>
      <x:c r="R181" s="9" t="str">
        <x:v>MIX_SPORT_AVGPAID_1100_1200_ANNUAL2026</x:v>
      </x:c>
      <x:c r="S181" s="9" t="str">
        <x:v>排行榜_商品榜_销售额榜_热销_运动服_休闲服装-运休闲服装-跑步短裤_2025-11-01_2026-10-31 (9).xlsx / 默认 / 第412行 / SHA256 bf4c13b761e645dc5b709fecfe2eba562c597469bada8d60d13514dd26d590ba</x:v>
      </x:c>
    </x:row>
    <x:row r="182" ht="58" customHeight="1">
      <x:c r="A182" s="23" t="str">
        <x:v>763960449289</x:v>
      </x:c>
      <x:c r="B182" s="22"/>
      <x:c r="C182" s="22"/>
      <x:c r="D182" s="9" t="str">
        <x:v>Nike x STUSSY 联名款 黑色 联名款Logo印花运动休闲裤DO5297-010</x:v>
      </x:c>
      <x:c r="E182" s="9" t="str">
        <x:v>NIKE/耐克</x:v>
      </x:c>
      <x:c r="F182" s="9" t="str">
        <x:v>长裤</x:v>
      </x:c>
      <x:c r="G182" s="9" t="str">
        <x:v>训练／运动长裤</x:v>
      </x:c>
      <x:c r="H182" s="24" t="n">
        <x:v>1254</x:v>
      </x:c>
      <x:c r="I182" s="25" t="e">
        <x:f>HYPERLINK("https://item.taobao.com/item.htm?id=763960449289","打开商品")</x:f>
        <x:v>HYPERLINK is not implemented. linkLocation=https://item.taobao.com/item.htm?id=763960449289, friendlyName=打开商品</x:v>
      </x:c>
      <x:c r="J182" s="25" t="e">
        <x:f>HYPERLINK("https://data.zhiyitech.cn/itemDetail/overview/base?itemId=763960449289","打开知衣")</x:f>
        <x:v>HYPERLINK is not implemented. linkLocation=https://data.zhiyitech.cn/itemDetail/overview/base?itemId=763960449289, friendlyName=打开知衣</x:v>
      </x:c>
      <x:c r="K182" s="25" t="e">
        <x:f>HYPERLINK("https://img.alicdn.com/i2/1940561774/O1CN01aLB25f1OyXeXVjgls_!!1940561774.jpg","查看主图")</x:f>
        <x:v>HYPERLINK is not implemented. linkLocation=https://img.alicdn.com/i2/1940561774/O1CN01aLB25f1OyXeXVjgls_!!1940561774.jpg, friendlyName=查看主图</x:v>
      </x:c>
      <x:c r="L182" s="9" t="str">
        <x:v>无明确性别信息</x:v>
      </x:c>
      <x:c r="M182" s="9" t="str">
        <x:v>运动下装</x:v>
      </x:c>
      <x:c r="N182" s="9" t="str">
        <x:v>排行榜_商品榜_销售额榜_热销_运动服_休闲服装-运休闲服装-跑步短裤_2025-11-01_2026-10-31 (8).xlsx</x:v>
      </x:c>
      <x:c r="O182" s="9" t="str">
        <x:v>默认</x:v>
      </x:c>
      <x:c r="P182" s="9" t="n">
        <x:v>292</x:v>
      </x:c>
      <x:c r="Q182" s="9" t="str">
        <x:v>188467edd382ec56460cb456b88a35e4bc41edeb6d84588a2971ef0bea45a429</x:v>
      </x:c>
      <x:c r="R182" s="9" t="str">
        <x:v>MIX_SPORT_AVGPAID_1200_1300_ANNUAL2026</x:v>
      </x:c>
      <x:c r="S182" s="9" t="str">
        <x:v>排行榜_商品榜_销售额榜_热销_运动服_休闲服装-运休闲服装-跑步短裤_2025-11-01_2026-10-31 (8).xlsx / 默认 / 第292行 / SHA256 188467edd382ec56460cb456b88a35e4bc41edeb6d84588a2971ef0bea45a429</x:v>
      </x:c>
    </x:row>
    <x:row r="183" ht="58" customHeight="1">
      <x:c r="A183" s="23" t="str">
        <x:v>1006160644849</x:v>
      </x:c>
      <x:c r="B183" s="22"/>
      <x:c r="C183" s="22"/>
      <x:c r="D183" s="9" t="str">
        <x:v>鬼塚虎简约舒适休闲长裤</x:v>
      </x:c>
      <x:c r="E183" s="9" t="str">
        <x:v>ONITSUKA TIGER/鬼塚虎</x:v>
      </x:c>
      <x:c r="F183" s="9" t="str">
        <x:v>长裤</x:v>
      </x:c>
      <x:c r="G183" s="9" t="str">
        <x:v>训练／运动长裤</x:v>
      </x:c>
      <x:c r="H183" s="24" t="n">
        <x:v>1047.86</x:v>
      </x:c>
      <x:c r="I183" s="25" t="e">
        <x:f>HYPERLINK("https://item.taobao.com/item.htm?id=1006160644849","打开商品")</x:f>
        <x:v>HYPERLINK is not implemented. linkLocation=https://item.taobao.com/item.htm?id=1006160644849, friendlyName=打开商品</x:v>
      </x:c>
      <x:c r="J183" s="25" t="e">
        <x:f>HYPERLINK("https://data.zhiyitech.cn/itemDetail/overview/base?itemId=1006160644849","打开知衣")</x:f>
        <x:v>HYPERLINK is not implemented. linkLocation=https://data.zhiyitech.cn/itemDetail/overview/base?itemId=1006160644849, friendlyName=打开知衣</x:v>
      </x:c>
      <x:c r="K183" s="25" t="e">
        <x:f>HYPERLINK("https://img.alicdn.com/bao/uploaded/i4/1635636237/O1CN01r1NtAeZ0G2K1chua_!!1635636237.jpg","查看主图")</x:f>
        <x:v>HYPERLINK is not implemented. linkLocation=https://img.alicdn.com/bao/uploaded/i4/1635636237/O1CN01r1NtAeZ0G2K1chua_!!1635636237.jpg, friendlyName=查看主图</x:v>
      </x:c>
      <x:c r="L183" s="9" t="str">
        <x:v>无明确性别信息</x:v>
      </x:c>
      <x:c r="M183" s="9" t="str">
        <x:v>运动下装</x:v>
      </x:c>
      <x:c r="N183" s="9" t="str">
        <x:v>排行榜_商品榜_销售额榜_热销_运动服_休闲服装-运休闲服装-跑步短裤_2025-11-01_2026-10-31 (10).xlsx</x:v>
      </x:c>
      <x:c r="O183" s="9" t="str">
        <x:v>默认</x:v>
      </x:c>
      <x:c r="P183" s="9" t="n">
        <x:v>309</x:v>
      </x:c>
      <x:c r="Q183" s="9" t="str">
        <x:v>77c2723e3730f60e82908e61638dbb3700ba4d487e03331cf25303638bb2767e</x:v>
      </x:c>
      <x:c r="R183" s="9" t="str">
        <x:v>MIX_SPORT_AVGPAID_1000_1100_ANNUAL2026</x:v>
      </x:c>
      <x:c r="S183" s="9" t="str">
        <x:v>排行榜_商品榜_销售额榜_热销_运动服_休闲服装-运休闲服装-跑步短裤_2025-11-01_2026-10-31 (10).xlsx / 默认 / 第309行 / SHA256 77c2723e3730f60e82908e61638dbb3700ba4d487e03331cf25303638bb2767e</x:v>
      </x:c>
    </x:row>
    <x:row r="184" ht="58" customHeight="1">
      <x:c r="A184" s="23" t="str">
        <x:v>886434939063</x:v>
      </x:c>
      <x:c r="B184" s="22"/>
      <x:c r="C184" s="22"/>
      <x:c r="D184" s="9" t="str">
        <x:v>PNS Off-Race 休闲裤</x:v>
      </x:c>
      <x:c r="E184" s="9" t="str">
        <x:v>PAS NORMAL STUDIOS</x:v>
      </x:c>
      <x:c r="F184" s="9" t="str">
        <x:v>长裤</x:v>
      </x:c>
      <x:c r="G184" s="9" t="str">
        <x:v>训练／运动长裤</x:v>
      </x:c>
      <x:c r="H184" s="24" t="n">
        <x:v>1686.71</x:v>
      </x:c>
      <x:c r="I184" s="25" t="e">
        <x:f>HYPERLINK("https://item.taobao.com/item.htm?id=886434939063","打开商品")</x:f>
        <x:v>HYPERLINK is not implemented. linkLocation=https://item.taobao.com/item.htm?id=886434939063, friendlyName=打开商品</x:v>
      </x:c>
      <x:c r="J184" s="25" t="e">
        <x:f>HYPERLINK("https://data.zhiyitech.cn/itemDetail/overview/base?itemId=886434939063","打开知衣")</x:f>
        <x:v>HYPERLINK is not implemented. linkLocation=https://data.zhiyitech.cn/itemDetail/overview/base?itemId=886434939063, friendlyName=打开知衣</x:v>
      </x:c>
      <x:c r="K184" s="25" t="e">
        <x:f>HYPERLINK("https://img.alicdn.com/bao/uploaded/i1/2218595967267/O1CN01WQd4Si23YLF7bD0de_!!4611686018427380003-0-item_pic.jpg","查看主图")</x:f>
        <x:v>HYPERLINK is not implemented. linkLocation=https://img.alicdn.com/bao/uploaded/i1/2218595967267/O1CN01WQd4Si23YLF7bD0de_!!4611686018427380003-0-item_pic.jpg, friendlyName=查看主图</x:v>
      </x:c>
      <x:c r="L184" s="9" t="str">
        <x:v>无明确性别信息</x:v>
      </x:c>
      <x:c r="M184" s="9" t="str">
        <x:v>运动下装</x:v>
      </x:c>
      <x:c r="N184" s="9" t="str">
        <x:v>排行榜_商品榜_销售额榜_热销_运动服_休闲服装-运休闲服装-跑步短裤_2025-11-01_2026-10-31 (4).xlsx</x:v>
      </x:c>
      <x:c r="O184" s="9" t="str">
        <x:v>默认</x:v>
      </x:c>
      <x:c r="P184" s="9" t="n">
        <x:v>27</x:v>
      </x:c>
      <x:c r="Q184" s="9" t="str">
        <x:v>f87107da07f2a69cacdf5d1934c6ee6199ee509824961182157054c4707072d8</x:v>
      </x:c>
      <x:c r="R184" s="9" t="str">
        <x:v>MIX_SPORT_AVGPAID_1600_1700_ANNUAL2026</x:v>
      </x:c>
      <x:c r="S184" s="9" t="str">
        <x:v>排行榜_商品榜_销售额榜_热销_运动服_休闲服装-运休闲服装-跑步短裤_2025-11-01_2026-10-31 (4).xlsx / 默认 / 第27行 / SHA256 f87107da07f2a69cacdf5d1934c6ee6199ee509824961182157054c4707072d8</x:v>
      </x:c>
    </x:row>
    <x:row r="185" ht="58" customHeight="1">
      <x:c r="A185" s="23" t="str">
        <x:v>892452330590</x:v>
      </x:c>
      <x:c r="B185" s="22"/>
      <x:c r="C185" s="22"/>
      <x:c r="D185" s="9" t="str">
        <x:v>PNS Off-Race 休闲长裤</x:v>
      </x:c>
      <x:c r="E185" s="9" t="str">
        <x:v>PAS NORMAL STUDIOS</x:v>
      </x:c>
      <x:c r="F185" s="9" t="str">
        <x:v>长裤</x:v>
      </x:c>
      <x:c r="G185" s="9" t="str">
        <x:v>训练／运动长裤</x:v>
      </x:c>
      <x:c r="H185" s="24" t="n">
        <x:v>1002</x:v>
      </x:c>
      <x:c r="I185" s="25" t="e">
        <x:f>HYPERLINK("https://item.taobao.com/item.htm?id=892452330590","打开商品")</x:f>
        <x:v>HYPERLINK is not implemented. linkLocation=https://item.taobao.com/item.htm?id=892452330590, friendlyName=打开商品</x:v>
      </x:c>
      <x:c r="J185" s="25" t="e">
        <x:f>HYPERLINK("https://data.zhiyitech.cn/itemDetail/overview/base?itemId=892452330590","打开知衣")</x:f>
        <x:v>HYPERLINK is not implemented. linkLocation=https://data.zhiyitech.cn/itemDetail/overview/base?itemId=892452330590, friendlyName=打开知衣</x:v>
      </x:c>
      <x:c r="K185" s="25" t="e">
        <x:f>HYPERLINK("https://img.alicdn.com/bao/uploaded/i1/2218595967267/O1CN01O26Dzh23YLFMJppCY_!!4611686018427380003-0-item_pic.jpg","查看主图")</x:f>
        <x:v>HYPERLINK is not implemented. linkLocation=https://img.alicdn.com/bao/uploaded/i1/2218595967267/O1CN01O26Dzh23YLFMJppCY_!!4611686018427380003-0-item_pic.jpg, friendlyName=查看主图</x:v>
      </x:c>
      <x:c r="L185" s="9" t="str">
        <x:v>无明确性别信息</x:v>
      </x:c>
      <x:c r="M185" s="9" t="str">
        <x:v>运动下装</x:v>
      </x:c>
      <x:c r="N185" s="9" t="str">
        <x:v>排行榜_商品榜_销售额榜_热销_运动服_休闲服装-运休闲服装-跑步短裤_2025-11-01_2026-10-31 (10).xlsx</x:v>
      </x:c>
      <x:c r="O185" s="9" t="str">
        <x:v>默认</x:v>
      </x:c>
      <x:c r="P185" s="9" t="n">
        <x:v>342</x:v>
      </x:c>
      <x:c r="Q185" s="9" t="str">
        <x:v>77c2723e3730f60e82908e61638dbb3700ba4d487e03331cf25303638bb2767e</x:v>
      </x:c>
      <x:c r="R185" s="9" t="str">
        <x:v>MIX_SPORT_AVGPAID_1000_1100_ANNUAL2026</x:v>
      </x:c>
      <x:c r="S185" s="9" t="str">
        <x:v>排行榜_商品榜_销售额榜_热销_运动服_休闲服装-运休闲服装-跑步短裤_2025-11-01_2026-10-31 (10).xlsx / 默认 / 第342行 / SHA256 77c2723e3730f60e82908e61638dbb3700ba4d487e03331cf25303638bb2767e</x:v>
      </x:c>
    </x:row>
    <x:row r="186" ht="58" customHeight="1">
      <x:c r="A186" s="23" t="str">
        <x:v>784728888993</x:v>
      </x:c>
      <x:c r="B186" s="22"/>
      <x:c r="C186" s="22"/>
      <x:c r="D186" s="9" t="str">
        <x:v>phenix运动简约百搭宽松休闲裤</x:v>
      </x:c>
      <x:c r="E186" s="9" t="str">
        <x:v>PHENIX</x:v>
      </x:c>
      <x:c r="F186" s="9" t="str">
        <x:v>长裤</x:v>
      </x:c>
      <x:c r="G186" s="9" t="str">
        <x:v>训练／运动长裤</x:v>
      </x:c>
      <x:c r="H186" s="24" t="n">
        <x:v>1121</x:v>
      </x:c>
      <x:c r="I186" s="25" t="e">
        <x:f>HYPERLINK("https://item.taobao.com/item.htm?id=784728888993","打开商品")</x:f>
        <x:v>HYPERLINK is not implemented. linkLocation=https://item.taobao.com/item.htm?id=784728888993, friendlyName=打开商品</x:v>
      </x:c>
      <x:c r="J186" s="25" t="e">
        <x:f>HYPERLINK("https://data.zhiyitech.cn/itemDetail/overview/base?itemId=784728888993","打开知衣")</x:f>
        <x:v>HYPERLINK is not implemented. linkLocation=https://data.zhiyitech.cn/itemDetail/overview/base?itemId=784728888993, friendlyName=打开知衣</x:v>
      </x:c>
      <x:c r="K186" s="25" t="e">
        <x:f>HYPERLINK("https://img.alicdn.com/i1/3040100879/O1CN01G9UQ5z1IMd5hJ4H1j_!!0-item_pic.jpg","查看主图")</x:f>
        <x:v>HYPERLINK is not implemented. linkLocation=https://img.alicdn.com/i1/3040100879/O1CN01G9UQ5z1IMd5hJ4H1j_!!0-item_pic.jpg, friendlyName=查看主图</x:v>
      </x:c>
      <x:c r="L186" s="9" t="str">
        <x:v>无明确性别信息</x:v>
      </x:c>
      <x:c r="M186" s="9" t="str">
        <x:v>运动下装</x:v>
      </x:c>
      <x:c r="N186" s="9" t="str">
        <x:v>排行榜_商品榜_销售额榜_热销_运动服_休闲服装-运休闲服装-跑步短裤_2025-11-01_2026-10-31 (9).xlsx</x:v>
      </x:c>
      <x:c r="O186" s="9" t="str">
        <x:v>默认</x:v>
      </x:c>
      <x:c r="P186" s="9" t="n">
        <x:v>434</x:v>
      </x:c>
      <x:c r="Q186" s="9" t="str">
        <x:v>bf4c13b761e645dc5b709fecfe2eba562c597469bada8d60d13514dd26d590ba</x:v>
      </x:c>
      <x:c r="R186" s="9" t="str">
        <x:v>MIX_SPORT_AVGPAID_1100_1200_ANNUAL2026</x:v>
      </x:c>
      <x:c r="S186" s="9" t="str">
        <x:v>排行榜_商品榜_销售额榜_热销_运动服_休闲服装-运休闲服装-跑步短裤_2025-11-01_2026-10-31 (9).xlsx / 默认 / 第434行 / SHA256 bf4c13b761e645dc5b709fecfe2eba562c597469bada8d60d13514dd26d590ba</x:v>
      </x:c>
    </x:row>
    <x:row r="187" ht="58" customHeight="1">
      <x:c r="A187" s="23" t="str">
        <x:v>1019384628770</x:v>
      </x:c>
      <x:c r="B187" s="22"/>
      <x:c r="C187" s="22"/>
      <x:c r="D187" s="9" t="str">
        <x:v>联名宽松复古老花牛仔裤PUMA彪马</x:v>
      </x:c>
      <x:c r="E187" s="9" t="str">
        <x:v>PUMA/彪马</x:v>
      </x:c>
      <x:c r="F187" s="9" t="str">
        <x:v>长裤</x:v>
      </x:c>
      <x:c r="G187" s="9" t="str">
        <x:v>训练／运动长裤</x:v>
      </x:c>
      <x:c r="H187" s="24" t="n">
        <x:v>1022.56</x:v>
      </x:c>
      <x:c r="I187" s="25" t="e">
        <x:f>HYPERLINK("https://item.taobao.com/item.htm?id=1019384628770","打开商品")</x:f>
        <x:v>HYPERLINK is not implemented. linkLocation=https://item.taobao.com/item.htm?id=1019384628770, friendlyName=打开商品</x:v>
      </x:c>
      <x:c r="J187" s="25" t="e">
        <x:f>HYPERLINK("https://data.zhiyitech.cn/itemDetail/overview/base?itemId=1019384628770","打开知衣")</x:f>
        <x:v>HYPERLINK is not implemented. linkLocation=https://data.zhiyitech.cn/itemDetail/overview/base?itemId=1019384628770, friendlyName=打开知衣</x:v>
      </x:c>
      <x:c r="K187" s="25" t="e">
        <x:f>HYPERLINK("https://img.alicdn.com/bao/uploaded/i3/734584252/O1CN01AsXN5U1hHTDDGNqRn_!!734584252.jpg","查看主图")</x:f>
        <x:v>HYPERLINK is not implemented. linkLocation=https://img.alicdn.com/bao/uploaded/i3/734584252/O1CN01AsXN5U1hHTDDGNqRn_!!734584252.jpg, friendlyName=查看主图</x:v>
      </x:c>
      <x:c r="L187" s="9" t="str">
        <x:v>无明确性别信息</x:v>
      </x:c>
      <x:c r="M187" s="9" t="str">
        <x:v>运动下装</x:v>
      </x:c>
      <x:c r="N187" s="9" t="str">
        <x:v>排行榜_商品榜_销售额榜_热销_运动服_休闲服装-运休闲服装-跑步短裤_2025-11-01_2026-10-31 (10).xlsx</x:v>
      </x:c>
      <x:c r="O187" s="9" t="str">
        <x:v>默认</x:v>
      </x:c>
      <x:c r="P187" s="9" t="n">
        <x:v>468</x:v>
      </x:c>
      <x:c r="Q187" s="9" t="str">
        <x:v>77c2723e3730f60e82908e61638dbb3700ba4d487e03331cf25303638bb2767e</x:v>
      </x:c>
      <x:c r="R187" s="9" t="str">
        <x:v>MIX_SPORT_AVGPAID_1000_1100_ANNUAL2026</x:v>
      </x:c>
      <x:c r="S187" s="9" t="str">
        <x:v>排行榜_商品榜_销售额榜_热销_运动服_休闲服装-运休闲服装-跑步短裤_2025-11-01_2026-10-31 (10).xlsx / 默认 / 第468行 / SHA256 77c2723e3730f60e82908e61638dbb3700ba4d487e03331cf25303638bb2767e</x:v>
      </x:c>
    </x:row>
    <x:row r="188" ht="58" customHeight="1">
      <x:c r="A188" s="23" t="str">
        <x:v>970076266491</x:v>
      </x:c>
      <x:c r="B188" s="22"/>
      <x:c r="C188" s="22"/>
      <x:c r="D188" s="9" t="str">
        <x:v>Puma X ROSE T7 Relaxed运动长裤</x:v>
      </x:c>
      <x:c r="E188" s="9" t="str">
        <x:v>PUMA/彪马</x:v>
      </x:c>
      <x:c r="F188" s="9" t="str">
        <x:v>长裤</x:v>
      </x:c>
      <x:c r="G188" s="9" t="str">
        <x:v>训练／运动长裤</x:v>
      </x:c>
      <x:c r="H188" s="24" t="n">
        <x:v>1310.47</x:v>
      </x:c>
      <x:c r="I188" s="25" t="e">
        <x:f>HYPERLINK("https://item.taobao.com/item.htm?id=970076266491","打开商品")</x:f>
        <x:v>HYPERLINK is not implemented. linkLocation=https://item.taobao.com/item.htm?id=970076266491, friendlyName=打开商品</x:v>
      </x:c>
      <x:c r="J188" s="25" t="e">
        <x:f>HYPERLINK("https://data.zhiyitech.cn/itemDetail/overview/base?itemId=970076266491","打开知衣")</x:f>
        <x:v>HYPERLINK is not implemented. linkLocation=https://data.zhiyitech.cn/itemDetail/overview/base?itemId=970076266491, friendlyName=打开知衣</x:v>
      </x:c>
      <x:c r="K188" s="25" t="e">
        <x:f>HYPERLINK("https://img.alicdn.com/bao/uploaded/i1/2648962620/O1CN01UErN9f1VE0mLYogbA_!!4611686018427385404-0-item_pic.jpg","查看主图")</x:f>
        <x:v>HYPERLINK is not implemented. linkLocation=https://img.alicdn.com/bao/uploaded/i1/2648962620/O1CN01UErN9f1VE0mLYogbA_!!4611686018427385404-0-item_pic.jpg, friendlyName=查看主图</x:v>
      </x:c>
      <x:c r="L188" s="9" t="str">
        <x:v>无明确性别信息</x:v>
      </x:c>
      <x:c r="M188" s="9" t="str">
        <x:v>运动下装</x:v>
      </x:c>
      <x:c r="N188" s="9" t="str">
        <x:v>排行榜_商品榜_销售额榜_热销_运动服_休闲服装-运休闲服装-跑步短裤_2025-11-01_2026-10-31 (7).xlsx</x:v>
      </x:c>
      <x:c r="O188" s="9" t="str">
        <x:v>默认</x:v>
      </x:c>
      <x:c r="P188" s="9" t="n">
        <x:v>121</x:v>
      </x:c>
      <x:c r="Q188" s="9" t="str">
        <x:v>b4959cd74b14f4314b9473c91799b973e0b2ff209bedfdac04b6266e6a5d9ce9</x:v>
      </x:c>
      <x:c r="R188" s="9" t="str">
        <x:v>MIX_SPORT_AVGPAID_1300_1400_ANNUAL2026</x:v>
      </x:c>
      <x:c r="S188" s="9" t="str">
        <x:v>排行榜_商品榜_销售额榜_热销_运动服_休闲服装-运休闲服装-跑步短裤_2025-11-01_2026-10-31 (7).xlsx / 默认 / 第121行 / SHA256 b4959cd74b14f4314b9473c91799b973e0b2ff209bedfdac04b6266e6a5d9ce9</x:v>
      </x:c>
    </x:row>
    <x:row r="189" ht="58" customHeight="1">
      <x:c r="A189" s="23" t="str">
        <x:v>1007024563454</x:v>
      </x:c>
      <x:c r="B189" s="22"/>
      <x:c r="C189" s="22"/>
      <x:c r="D189" s="9" t="str">
        <x:v>GOLF运动时尚直筒舒适版随型裤</x:v>
      </x:c>
      <x:c r="E189" s="9" t="str">
        <x:v>RAPIDO</x:v>
      </x:c>
      <x:c r="F189" s="9" t="str">
        <x:v>长裤</x:v>
      </x:c>
      <x:c r="G189" s="9" t="str">
        <x:v>训练／运动长裤</x:v>
      </x:c>
      <x:c r="H189" s="24" t="n">
        <x:v>1225.36</x:v>
      </x:c>
      <x:c r="I189" s="25" t="e">
        <x:f>HYPERLINK("https://item.taobao.com/item.htm?id=1007024563454","打开商品")</x:f>
        <x:v>HYPERLINK is not implemented. linkLocation=https://item.taobao.com/item.htm?id=1007024563454, friendlyName=打开商品</x:v>
      </x:c>
      <x:c r="J189" s="25" t="e">
        <x:f>HYPERLINK("https://data.zhiyitech.cn/itemDetail/overview/base?itemId=1007024563454","打开知衣")</x:f>
        <x:v>HYPERLINK is not implemented. linkLocation=https://data.zhiyitech.cn/itemDetail/overview/base?itemId=1007024563454, friendlyName=打开知衣</x:v>
      </x:c>
      <x:c r="K189" s="25" t="e">
        <x:f>HYPERLINK("https://img.alicdn.com/bao/uploaded/i1/1018762324/O1CN01SNErb924IGC1chua-1018762324.jpg","查看主图")</x:f>
        <x:v>HYPERLINK is not implemented. linkLocation=https://img.alicdn.com/bao/uploaded/i1/1018762324/O1CN01SNErb924IGC1chua-1018762324.jpg, friendlyName=查看主图</x:v>
      </x:c>
      <x:c r="L189" s="9" t="str">
        <x:v>无明确性别信息</x:v>
      </x:c>
      <x:c r="M189" s="9" t="str">
        <x:v>运动下装</x:v>
      </x:c>
      <x:c r="N189" s="9" t="str">
        <x:v>排行榜_商品榜_销售额榜_热销_运动服_休闲服装-运休闲服装-跑步短裤_2025-11-01_2026-10-31 (8).xlsx</x:v>
      </x:c>
      <x:c r="O189" s="9" t="str">
        <x:v>默认</x:v>
      </x:c>
      <x:c r="P189" s="9" t="n">
        <x:v>202</x:v>
      </x:c>
      <x:c r="Q189" s="9" t="str">
        <x:v>188467edd382ec56460cb456b88a35e4bc41edeb6d84588a2971ef0bea45a429</x:v>
      </x:c>
      <x:c r="R189" s="9" t="str">
        <x:v>MIX_SPORT_AVGPAID_1200_1300_ANNUAL2026</x:v>
      </x:c>
      <x:c r="S189" s="9" t="str">
        <x:v>排行榜_商品榜_销售额榜_热销_运动服_休闲服装-运休闲服装-跑步短裤_2025-11-01_2026-10-31 (8).xlsx / 默认 / 第202行 / SHA256 188467edd382ec56460cb456b88a35e4bc41edeb6d84588a2971ef0bea45a429</x:v>
      </x:c>
    </x:row>
    <x:row r="190" ht="58" customHeight="1">
      <x:c r="A190" s="23" t="str">
        <x:v>1009993435208</x:v>
      </x:c>
      <x:c r="B190" s="22"/>
      <x:c r="C190" s="22"/>
      <x:c r="D190" s="9" t="str">
        <x:v>R-LINE时尚运动简约修身长裤</x:v>
      </x:c>
      <x:c r="E190" s="9" t="str">
        <x:v>RAPIDO</x:v>
      </x:c>
      <x:c r="F190" s="9" t="str">
        <x:v>长裤</x:v>
      </x:c>
      <x:c r="G190" s="9" t="str">
        <x:v>训练／运动长裤</x:v>
      </x:c>
      <x:c r="H190" s="24" t="n">
        <x:v>1103.3</x:v>
      </x:c>
      <x:c r="I190" s="25" t="e">
        <x:f>HYPERLINK("https://item.taobao.com/item.htm?id=1009993435208","打开商品")</x:f>
        <x:v>HYPERLINK is not implemented. linkLocation=https://item.taobao.com/item.htm?id=1009993435208, friendlyName=打开商品</x:v>
      </x:c>
      <x:c r="J190" s="25" t="e">
        <x:f>HYPERLINK("https://data.zhiyitech.cn/itemDetail/overview/base?itemId=1009993435208","打开知衣")</x:f>
        <x:v>HYPERLINK is not implemented. linkLocation=https://data.zhiyitech.cn/itemDetail/overview/base?itemId=1009993435208, friendlyName=打开知衣</x:v>
      </x:c>
      <x:c r="K190" s="25" t="e">
        <x:f>HYPERLINK("https://img.alicdn.com/imgextra/i1/1018762324/O1CN01vhvKYH1T2RZcRMJqn-1018762324.jpg","查看主图")</x:f>
        <x:v>HYPERLINK is not implemented. linkLocation=https://img.alicdn.com/imgextra/i1/1018762324/O1CN01vhvKYH1T2RZcRMJqn-1018762324.jpg, friendlyName=查看主图</x:v>
      </x:c>
      <x:c r="L190" s="9" t="str">
        <x:v>无明确性别信息</x:v>
      </x:c>
      <x:c r="M190" s="9" t="str">
        <x:v>运动下装</x:v>
      </x:c>
      <x:c r="N190" s="9" t="str">
        <x:v>排行榜_商品榜_销售额榜_热销_运动服_休闲服装-运休闲服装-跑步短裤_2025-11-01_2026-10-31 (9).xlsx</x:v>
      </x:c>
      <x:c r="O190" s="9" t="str">
        <x:v>默认</x:v>
      </x:c>
      <x:c r="P190" s="9" t="n">
        <x:v>376</x:v>
      </x:c>
      <x:c r="Q190" s="9" t="str">
        <x:v>bf4c13b761e645dc5b709fecfe2eba562c597469bada8d60d13514dd26d590ba</x:v>
      </x:c>
      <x:c r="R190" s="9" t="str">
        <x:v>MIX_SPORT_AVGPAID_1100_1200_ANNUAL2026</x:v>
      </x:c>
      <x:c r="S190" s="9" t="str">
        <x:v>排行榜_商品榜_销售额榜_热销_运动服_休闲服装-运休闲服装-跑步短裤_2025-11-01_2026-10-31 (9).xlsx / 默认 / 第376行 / SHA256 bf4c13b761e645dc5b709fecfe2eba562c597469bada8d60d13514dd26d590ba</x:v>
      </x:c>
    </x:row>
    <x:row r="191" ht="58" customHeight="1">
      <x:c r="A191" s="23" t="str">
        <x:v>1010874928980</x:v>
      </x:c>
      <x:c r="B191" s="22"/>
      <x:c r="C191" s="22"/>
      <x:c r="D191" s="9" t="str">
        <x:v>GOLF运动时尚直筒舒适版随型裤</x:v>
      </x:c>
      <x:c r="E191" s="9" t="str">
        <x:v>RAPIDO</x:v>
      </x:c>
      <x:c r="F191" s="9" t="str">
        <x:v>长裤</x:v>
      </x:c>
      <x:c r="G191" s="9" t="str">
        <x:v>训练／运动长裤</x:v>
      </x:c>
      <x:c r="H191" s="24" t="n">
        <x:v>1200.4</x:v>
      </x:c>
      <x:c r="I191" s="25" t="e">
        <x:f>HYPERLINK("https://item.taobao.com/item.htm?id=1010874928980","打开商品")</x:f>
        <x:v>HYPERLINK is not implemented. linkLocation=https://item.taobao.com/item.htm?id=1010874928980, friendlyName=打开商品</x:v>
      </x:c>
      <x:c r="J191" s="25" t="e">
        <x:f>HYPERLINK("https://data.zhiyitech.cn/itemDetail/overview/base?itemId=1010874928980","打开知衣")</x:f>
        <x:v>HYPERLINK is not implemented. linkLocation=https://data.zhiyitech.cn/itemDetail/overview/base?itemId=1010874928980, friendlyName=打开知衣</x:v>
      </x:c>
      <x:c r="K191" s="25" t="e">
        <x:f>HYPERLINK("https://img.alicdn.com/imgextra/i4/1018762324/O1CN01Tajg041T2RZarV2AZ-1018762324.jpg","查看主图")</x:f>
        <x:v>HYPERLINK is not implemented. linkLocation=https://img.alicdn.com/imgextra/i4/1018762324/O1CN01Tajg041T2RZarV2AZ-1018762324.jpg, friendlyName=查看主图</x:v>
      </x:c>
      <x:c r="L191" s="9" t="str">
        <x:v>无明确性别信息</x:v>
      </x:c>
      <x:c r="M191" s="9" t="str">
        <x:v>运动下装</x:v>
      </x:c>
      <x:c r="N191" s="9" t="str">
        <x:v>排行榜_商品榜_销售额榜_热销_运动服_休闲服装-运休闲服装-跑步短裤_2025-11-01_2026-10-31 (8).xlsx</x:v>
      </x:c>
      <x:c r="O191" s="9" t="str">
        <x:v>默认</x:v>
      </x:c>
      <x:c r="P191" s="9" t="n">
        <x:v>321</x:v>
      </x:c>
      <x:c r="Q191" s="9" t="str">
        <x:v>188467edd382ec56460cb456b88a35e4bc41edeb6d84588a2971ef0bea45a429</x:v>
      </x:c>
      <x:c r="R191" s="9" t="str">
        <x:v>MIX_SPORT_AVGPAID_1200_1300_ANNUAL2026</x:v>
      </x:c>
      <x:c r="S191" s="9" t="str">
        <x:v>排行榜_商品榜_销售额榜_热销_运动服_休闲服装-运休闲服装-跑步短裤_2025-11-01_2026-10-31 (8).xlsx / 默认 / 第321行 / SHA256 188467edd382ec56460cb456b88a35e4bc41edeb6d84588a2971ef0bea45a429</x:v>
      </x:c>
    </x:row>
    <x:row r="192" ht="58" customHeight="1">
      <x:c r="A192" s="23" t="str">
        <x:v>1013405545806</x:v>
      </x:c>
      <x:c r="B192" s="22"/>
      <x:c r="C192" s="22"/>
      <x:c r="D192" s="9" t="str">
        <x:v>O-LINE时尚肌理感H版直筒长裤</x:v>
      </x:c>
      <x:c r="E192" s="9" t="str">
        <x:v>RAPIDO</x:v>
      </x:c>
      <x:c r="F192" s="9" t="str">
        <x:v>长裤</x:v>
      </x:c>
      <x:c r="G192" s="9" t="str">
        <x:v>训练／运动长裤</x:v>
      </x:c>
      <x:c r="H192" s="24" t="n">
        <x:v>1022.79</x:v>
      </x:c>
      <x:c r="I192" s="25" t="e">
        <x:f>HYPERLINK("https://item.taobao.com/item.htm?id=1013405545806","打开商品")</x:f>
        <x:v>HYPERLINK is not implemented. linkLocation=https://item.taobao.com/item.htm?id=1013405545806, friendlyName=打开商品</x:v>
      </x:c>
      <x:c r="J192" s="25" t="e">
        <x:f>HYPERLINK("https://data.zhiyitech.cn/itemDetail/overview/base?itemId=1013405545806","打开知衣")</x:f>
        <x:v>HYPERLINK is not implemented. linkLocation=https://data.zhiyitech.cn/itemDetail/overview/base?itemId=1013405545806, friendlyName=打开知衣</x:v>
      </x:c>
      <x:c r="K192" s="25" t="e">
        <x:f>HYPERLINK("https://img.alicdn.com/bao/uploaded/i3/1018762324/O1CN01gTt3z81T2Rbwn57BA-1018762324.jpg","查看主图")</x:f>
        <x:v>HYPERLINK is not implemented. linkLocation=https://img.alicdn.com/bao/uploaded/i3/1018762324/O1CN01gTt3z81T2Rbwn57BA-1018762324.jpg, friendlyName=查看主图</x:v>
      </x:c>
      <x:c r="L192" s="9" t="str">
        <x:v>无明确性别信息</x:v>
      </x:c>
      <x:c r="M192" s="9" t="str">
        <x:v>运动下装</x:v>
      </x:c>
      <x:c r="N192" s="9" t="str">
        <x:v>排行榜_商品榜_销售额榜_热销_运动服_休闲服装-运休闲服装-跑步短裤_2025-11-01_2026-10-31 (10).xlsx</x:v>
      </x:c>
      <x:c r="O192" s="9" t="str">
        <x:v>默认</x:v>
      </x:c>
      <x:c r="P192" s="9" t="n">
        <x:v>402</x:v>
      </x:c>
      <x:c r="Q192" s="9" t="str">
        <x:v>77c2723e3730f60e82908e61638dbb3700ba4d487e03331cf25303638bb2767e</x:v>
      </x:c>
      <x:c r="R192" s="9" t="str">
        <x:v>MIX_SPORT_AVGPAID_1000_1100_ANNUAL2026</x:v>
      </x:c>
      <x:c r="S192" s="9" t="str">
        <x:v>排行榜_商品榜_销售额榜_热销_运动服_休闲服装-运休闲服装-跑步短裤_2025-11-01_2026-10-31 (10).xlsx / 默认 / 第402行 / SHA256 77c2723e3730f60e82908e61638dbb3700ba4d487e03331cf25303638bb2767e</x:v>
      </x:c>
    </x:row>
    <x:row r="193" ht="58" customHeight="1">
      <x:c r="A193" s="23" t="str">
        <x:v>1013405553858</x:v>
      </x:c>
      <x:c r="B193" s="22"/>
      <x:c r="C193" s="22"/>
      <x:c r="D193" s="9" t="str">
        <x:v>GOLF时尚运动简约修身直筒长裤</x:v>
      </x:c>
      <x:c r="E193" s="9" t="str">
        <x:v>RAPIDO</x:v>
      </x:c>
      <x:c r="F193" s="9" t="str">
        <x:v>长裤</x:v>
      </x:c>
      <x:c r="G193" s="9" t="str">
        <x:v>训练／运动长裤</x:v>
      </x:c>
      <x:c r="H193" s="24" t="n">
        <x:v>1003.68</x:v>
      </x:c>
      <x:c r="I193" s="25" t="e">
        <x:f>HYPERLINK("https://item.taobao.com/item.htm?id=1013405553858","打开商品")</x:f>
        <x:v>HYPERLINK is not implemented. linkLocation=https://item.taobao.com/item.htm?id=1013405553858, friendlyName=打开商品</x:v>
      </x:c>
      <x:c r="J193" s="25" t="e">
        <x:f>HYPERLINK("https://data.zhiyitech.cn/itemDetail/overview/base?itemId=1013405553858","打开知衣")</x:f>
        <x:v>HYPERLINK is not implemented. linkLocation=https://data.zhiyitech.cn/itemDetail/overview/base?itemId=1013405553858, friendlyName=打开知衣</x:v>
      </x:c>
      <x:c r="K193" s="25" t="e">
        <x:f>HYPERLINK("https://img.alicdn.com/bao/uploaded/i4/1018762324/O1CN01K7jJZ61T2Rc27f5uX-1018762324.jpg","查看主图")</x:f>
        <x:v>HYPERLINK is not implemented. linkLocation=https://img.alicdn.com/bao/uploaded/i4/1018762324/O1CN01K7jJZ61T2Rc27f5uX-1018762324.jpg, friendlyName=查看主图</x:v>
      </x:c>
      <x:c r="L193" s="9" t="str">
        <x:v>无明确性别信息</x:v>
      </x:c>
      <x:c r="M193" s="9" t="str">
        <x:v>运动下装</x:v>
      </x:c>
      <x:c r="N193" s="9" t="str">
        <x:v>排行榜_商品榜_销售额榜_热销_运动服_休闲服装-运休闲服装-跑步短裤_2025-11-01_2026-10-31 (10).xlsx</x:v>
      </x:c>
      <x:c r="O193" s="9" t="str">
        <x:v>默认</x:v>
      </x:c>
      <x:c r="P193" s="9" t="n">
        <x:v>256</x:v>
      </x:c>
      <x:c r="Q193" s="9" t="str">
        <x:v>77c2723e3730f60e82908e61638dbb3700ba4d487e03331cf25303638bb2767e</x:v>
      </x:c>
      <x:c r="R193" s="9" t="str">
        <x:v>MIX_SPORT_AVGPAID_1000_1100_ANNUAL2026</x:v>
      </x:c>
      <x:c r="S193" s="9" t="str">
        <x:v>排行榜_商品榜_销售额榜_热销_运动服_休闲服装-运休闲服装-跑步短裤_2025-11-01_2026-10-31 (10).xlsx / 默认 / 第256行 / SHA256 77c2723e3730f60e82908e61638dbb3700ba4d487e03331cf25303638bb2767e</x:v>
      </x:c>
    </x:row>
    <x:row r="194" ht="58" customHeight="1">
      <x:c r="A194" s="23" t="str">
        <x:v>1014162036085</x:v>
      </x:c>
      <x:c r="B194" s="22"/>
      <x:c r="C194" s="22"/>
      <x:c r="D194" s="9" t="str">
        <x:v>R-LINE时尚运动简约修身长裤</x:v>
      </x:c>
      <x:c r="E194" s="9" t="str">
        <x:v>RAPIDO</x:v>
      </x:c>
      <x:c r="F194" s="9" t="str">
        <x:v>长裤</x:v>
      </x:c>
      <x:c r="G194" s="9" t="str">
        <x:v>训练／运动长裤</x:v>
      </x:c>
      <x:c r="H194" s="24" t="n">
        <x:v>1043.66</x:v>
      </x:c>
      <x:c r="I194" s="25" t="e">
        <x:f>HYPERLINK("https://item.taobao.com/item.htm?id=1014162036085","打开商品")</x:f>
        <x:v>HYPERLINK is not implemented. linkLocation=https://item.taobao.com/item.htm?id=1014162036085, friendlyName=打开商品</x:v>
      </x:c>
      <x:c r="J194" s="25" t="e">
        <x:f>HYPERLINK("https://data.zhiyitech.cn/itemDetail/overview/base?itemId=1014162036085","打开知衣")</x:f>
        <x:v>HYPERLINK is not implemented. linkLocation=https://data.zhiyitech.cn/itemDetail/overview/base?itemId=1014162036085, friendlyName=打开知衣</x:v>
      </x:c>
      <x:c r="K194" s="25" t="e">
        <x:f>HYPERLINK("https://img.alicdn.com/bao/uploaded/i4/1018762324/O1CN019jKYwIR1qNJ1chua-1018762324.jpg","查看主图")</x:f>
        <x:v>HYPERLINK is not implemented. linkLocation=https://img.alicdn.com/bao/uploaded/i4/1018762324/O1CN019jKYwIR1qNJ1chua-1018762324.jpg, friendlyName=查看主图</x:v>
      </x:c>
      <x:c r="L194" s="9" t="str">
        <x:v>无明确性别信息</x:v>
      </x:c>
      <x:c r="M194" s="9" t="str">
        <x:v>运动下装</x:v>
      </x:c>
      <x:c r="N194" s="9" t="str">
        <x:v>排行榜_商品榜_销售额榜_热销_运动服_休闲服装-运休闲服装-跑步短裤_2025-11-01_2026-10-31 (10).xlsx</x:v>
      </x:c>
      <x:c r="O194" s="9" t="str">
        <x:v>默认</x:v>
      </x:c>
      <x:c r="P194" s="9" t="n">
        <x:v>399</x:v>
      </x:c>
      <x:c r="Q194" s="9" t="str">
        <x:v>77c2723e3730f60e82908e61638dbb3700ba4d487e03331cf25303638bb2767e</x:v>
      </x:c>
      <x:c r="R194" s="9" t="str">
        <x:v>MIX_SPORT_AVGPAID_1000_1100_ANNUAL2026</x:v>
      </x:c>
      <x:c r="S194" s="9" t="str">
        <x:v>排行榜_商品榜_销售额榜_热销_运动服_休闲服装-运休闲服装-跑步短裤_2025-11-01_2026-10-31 (10).xlsx / 默认 / 第399行 / SHA256 77c2723e3730f60e82908e61638dbb3700ba4d487e03331cf25303638bb2767e</x:v>
      </x:c>
    </x:row>
    <x:row r="195" ht="58" customHeight="1">
      <x:c r="A195" s="23" t="str">
        <x:v>1015591471402</x:v>
      </x:c>
      <x:c r="B195" s="22"/>
      <x:c r="C195" s="22"/>
      <x:c r="D195" s="9" t="str">
        <x:v>GOLF时尚休闲舒适挺阔直筒长裤</x:v>
      </x:c>
      <x:c r="E195" s="9" t="str">
        <x:v>RAPIDO</x:v>
      </x:c>
      <x:c r="F195" s="9" t="str">
        <x:v>长裤</x:v>
      </x:c>
      <x:c r="G195" s="9" t="str">
        <x:v>训练／运动长裤</x:v>
      </x:c>
      <x:c r="H195" s="24" t="n">
        <x:v>1283.66</x:v>
      </x:c>
      <x:c r="I195" s="25" t="e">
        <x:f>HYPERLINK("https://item.taobao.com/item.htm?id=1015591471402","打开商品")</x:f>
        <x:v>HYPERLINK is not implemented. linkLocation=https://item.taobao.com/item.htm?id=1015591471402, friendlyName=打开商品</x:v>
      </x:c>
      <x:c r="J195" s="25" t="e">
        <x:f>HYPERLINK("https://data.zhiyitech.cn/itemDetail/overview/base?itemId=1015591471402","打开知衣")</x:f>
        <x:v>HYPERLINK is not implemented. linkLocation=https://data.zhiyitech.cn/itemDetail/overview/base?itemId=1015591471402, friendlyName=打开知衣</x:v>
      </x:c>
      <x:c r="K195" s="25" t="e">
        <x:f>HYPERLINK("https://img.alicdn.com/bao/uploaded/i1/1018762324/O1CN016Gka2L1T2Rai5gLSK-1018762324.jpg","查看主图")</x:f>
        <x:v>HYPERLINK is not implemented. linkLocation=https://img.alicdn.com/bao/uploaded/i1/1018762324/O1CN016Gka2L1T2Rai5gLSK-1018762324.jpg, friendlyName=查看主图</x:v>
      </x:c>
      <x:c r="L195" s="9" t="str">
        <x:v>无明确性别信息</x:v>
      </x:c>
      <x:c r="M195" s="9" t="str">
        <x:v>运动下装</x:v>
      </x:c>
      <x:c r="N195" s="9" t="str">
        <x:v>排行榜_商品榜_销售额榜_热销_运动服_休闲服装-运休闲服装-跑步短裤_2025-11-01_2026-10-31 (8).xlsx</x:v>
      </x:c>
      <x:c r="O195" s="9" t="str">
        <x:v>默认</x:v>
      </x:c>
      <x:c r="P195" s="9" t="n">
        <x:v>234</x:v>
      </x:c>
      <x:c r="Q195" s="9" t="str">
        <x:v>188467edd382ec56460cb456b88a35e4bc41edeb6d84588a2971ef0bea45a429</x:v>
      </x:c>
      <x:c r="R195" s="9" t="str">
        <x:v>MIX_SPORT_AVGPAID_1200_1300_ANNUAL2026</x:v>
      </x:c>
      <x:c r="S195" s="9" t="str">
        <x:v>排行榜_商品榜_销售额榜_热销_运动服_休闲服装-运休闲服装-跑步短裤_2025-11-01_2026-10-31 (8).xlsx / 默认 / 第234行 / SHA256 188467edd382ec56460cb456b88a35e4bc41edeb6d84588a2971ef0bea45a429</x:v>
      </x:c>
    </x:row>
    <x:row r="196" ht="58" customHeight="1">
      <x:c r="A196" s="23" t="str">
        <x:v>1024118950645</x:v>
      </x:c>
      <x:c r="B196" s="22"/>
      <x:c r="C196" s="22"/>
      <x:c r="D196" s="9" t="str">
        <x:v>R-LINE夏季轻薄简洁修身九分裤</x:v>
      </x:c>
      <x:c r="E196" s="9" t="str">
        <x:v>RAPIDO</x:v>
      </x:c>
      <x:c r="F196" s="9" t="str">
        <x:v>长裤</x:v>
      </x:c>
      <x:c r="G196" s="9" t="str">
        <x:v>中长裤／九分裤</x:v>
      </x:c>
      <x:c r="H196" s="24" t="n">
        <x:v>1095.67</x:v>
      </x:c>
      <x:c r="I196" s="25" t="e">
        <x:f>HYPERLINK("https://item.taobao.com/item.htm?id=1024118950645","打开商品")</x:f>
        <x:v>HYPERLINK is not implemented. linkLocation=https://item.taobao.com/item.htm?id=1024118950645, friendlyName=打开商品</x:v>
      </x:c>
      <x:c r="J196" s="25" t="e">
        <x:f>HYPERLINK("https://data.zhiyitech.cn/itemDetail/overview/base?itemId=1024118950645","打开知衣")</x:f>
        <x:v>HYPERLINK is not implemented. linkLocation=https://data.zhiyitech.cn/itemDetail/overview/base?itemId=1024118950645, friendlyName=打开知衣</x:v>
      </x:c>
      <x:c r="K196" s="25" t="e">
        <x:f>HYPERLINK("https://img.alicdn.com/bao/uploaded/i2/1018762324/O1CN01Qz5ZG91T2RbWWnZSB-1018762324.jpg","查看主图")</x:f>
        <x:v>HYPERLINK is not implemented. linkLocation=https://img.alicdn.com/bao/uploaded/i2/1018762324/O1CN01Qz5ZG91T2RbWWnZSB-1018762324.jpg, friendlyName=查看主图</x:v>
      </x:c>
      <x:c r="L196" s="9" t="str">
        <x:v>无明确性别信息</x:v>
      </x:c>
      <x:c r="M196" s="9" t="str">
        <x:v>运动下装</x:v>
      </x:c>
      <x:c r="N196" s="9" t="str">
        <x:v>排行榜_商品榜_销售额榜_热销_运动服_休闲服装-运休闲服装-跑步短裤_2025-11-01_2026-10-31 (10).xlsx</x:v>
      </x:c>
      <x:c r="O196" s="9" t="str">
        <x:v>默认</x:v>
      </x:c>
      <x:c r="P196" s="9" t="n">
        <x:v>451</x:v>
      </x:c>
      <x:c r="Q196" s="9" t="str">
        <x:v>77c2723e3730f60e82908e61638dbb3700ba4d487e03331cf25303638bb2767e</x:v>
      </x:c>
      <x:c r="R196" s="9" t="str">
        <x:v>MIX_SPORT_AVGPAID_1000_1100_ANNUAL2026</x:v>
      </x:c>
      <x:c r="S196" s="9" t="str">
        <x:v>排行榜_商品榜_销售额榜_热销_运动服_休闲服装-运休闲服装-跑步短裤_2025-11-01_2026-10-31 (10).xlsx / 默认 / 第451行 / SHA256 77c2723e3730f60e82908e61638dbb3700ba4d487e03331cf25303638bb2767e</x:v>
      </x:c>
    </x:row>
    <x:row r="197" ht="58" customHeight="1">
      <x:c r="A197" s="23" t="str">
        <x:v>1025020945272</x:v>
      </x:c>
      <x:c r="B197" s="22"/>
      <x:c r="C197" s="22"/>
      <x:c r="D197" s="9" t="str">
        <x:v>GOLF运动舒适轻薄弹性修身九分裤</x:v>
      </x:c>
      <x:c r="E197" s="9" t="str">
        <x:v>RAPIDO</x:v>
      </x:c>
      <x:c r="F197" s="9" t="str">
        <x:v>长裤</x:v>
      </x:c>
      <x:c r="G197" s="9" t="str">
        <x:v>中长裤／九分裤</x:v>
      </x:c>
      <x:c r="H197" s="24" t="n">
        <x:v>1383.12</x:v>
      </x:c>
      <x:c r="I197" s="25" t="e">
        <x:f>HYPERLINK("https://item.taobao.com/item.htm?id=1025020945272","打开商品")</x:f>
        <x:v>HYPERLINK is not implemented. linkLocation=https://item.taobao.com/item.htm?id=1025020945272, friendlyName=打开商品</x:v>
      </x:c>
      <x:c r="J197" s="25" t="e">
        <x:f>HYPERLINK("https://data.zhiyitech.cn/itemDetail/overview/base?itemId=1025020945272","打开知衣")</x:f>
        <x:v>HYPERLINK is not implemented. linkLocation=https://data.zhiyitech.cn/itemDetail/overview/base?itemId=1025020945272, friendlyName=打开知衣</x:v>
      </x:c>
      <x:c r="K197" s="25" t="e">
        <x:f>HYPERLINK("https://img.alicdn.com/bao/uploaded/i2/1018762324/O1CN01Utv0YVEdy1K2vH2e-1018762324.jpg","查看主图")</x:f>
        <x:v>HYPERLINK is not implemented. linkLocation=https://img.alicdn.com/bao/uploaded/i2/1018762324/O1CN01Utv0YVEdy1K2vH2e-1018762324.jpg, friendlyName=查看主图</x:v>
      </x:c>
      <x:c r="L197" s="9" t="str">
        <x:v>无明确性别信息</x:v>
      </x:c>
      <x:c r="M197" s="9" t="str">
        <x:v>运动下装</x:v>
      </x:c>
      <x:c r="N197" s="9" t="str">
        <x:v>排行榜_商品榜_销售额榜_热销_运动服_休闲服装-运休闲服装-跑步短裤_2025-11-01_2026-10-31 (7).xlsx</x:v>
      </x:c>
      <x:c r="O197" s="9" t="str">
        <x:v>默认</x:v>
      </x:c>
      <x:c r="P197" s="9" t="n">
        <x:v>105</x:v>
      </x:c>
      <x:c r="Q197" s="9" t="str">
        <x:v>b4959cd74b14f4314b9473c91799b973e0b2ff209bedfdac04b6266e6a5d9ce9</x:v>
      </x:c>
      <x:c r="R197" s="9" t="str">
        <x:v>MIX_SPORT_AVGPAID_1300_1400_ANNUAL2026</x:v>
      </x:c>
      <x:c r="S197" s="9" t="str">
        <x:v>排行榜_商品榜_销售额榜_热销_运动服_休闲服装-运休闲服装-跑步短裤_2025-11-01_2026-10-31 (7).xlsx / 默认 / 第105行 / SHA256 b4959cd74b14f4314b9473c91799b973e0b2ff209bedfdac04b6266e6a5d9ce9</x:v>
      </x:c>
    </x:row>
    <x:row r="198" ht="58" customHeight="1">
      <x:c r="A198" s="23" t="str">
        <x:v>1025810300449</x:v>
      </x:c>
      <x:c r="B198" s="22"/>
      <x:c r="C198" s="22"/>
      <x:c r="D198" s="9" t="str">
        <x:v>GOLF潮流运动舒适简约弹性长裤</x:v>
      </x:c>
      <x:c r="E198" s="9" t="str">
        <x:v>RAPIDO</x:v>
      </x:c>
      <x:c r="F198" s="9" t="str">
        <x:v>长裤</x:v>
      </x:c>
      <x:c r="G198" s="9" t="str">
        <x:v>训练／运动长裤</x:v>
      </x:c>
      <x:c r="H198" s="24" t="n">
        <x:v>1103.3</x:v>
      </x:c>
      <x:c r="I198" s="25" t="e">
        <x:f>HYPERLINK("https://item.taobao.com/item.htm?id=1025810300449","打开商品")</x:f>
        <x:v>HYPERLINK is not implemented. linkLocation=https://item.taobao.com/item.htm?id=1025810300449, friendlyName=打开商品</x:v>
      </x:c>
      <x:c r="J198" s="25" t="e">
        <x:f>HYPERLINK("https://data.zhiyitech.cn/itemDetail/overview/base?itemId=1025810300449","打开知衣")</x:f>
        <x:v>HYPERLINK is not implemented. linkLocation=https://data.zhiyitech.cn/itemDetail/overview/base?itemId=1025810300449, friendlyName=打开知衣</x:v>
      </x:c>
      <x:c r="K198" s="25" t="e">
        <x:f>HYPERLINK("https://img.alicdn.com/bao/uploaded/i2/1018762324/O1CN012r1aBC1T2RaeHn1Pv-1018762324.jpg","查看主图")</x:f>
        <x:v>HYPERLINK is not implemented. linkLocation=https://img.alicdn.com/bao/uploaded/i2/1018762324/O1CN012r1aBC1T2RaeHn1Pv-1018762324.jpg, friendlyName=查看主图</x:v>
      </x:c>
      <x:c r="L198" s="9" t="str">
        <x:v>无明确性别信息</x:v>
      </x:c>
      <x:c r="M198" s="9" t="str">
        <x:v>运动下装</x:v>
      </x:c>
      <x:c r="N198" s="9" t="str">
        <x:v>排行榜_商品榜_销售额榜_热销_运动服_休闲服装-运休闲服装-跑步短裤_2025-11-01_2026-10-31 (9).xlsx</x:v>
      </x:c>
      <x:c r="O198" s="9" t="str">
        <x:v>默认</x:v>
      </x:c>
      <x:c r="P198" s="9" t="n">
        <x:v>377</x:v>
      </x:c>
      <x:c r="Q198" s="9" t="str">
        <x:v>bf4c13b761e645dc5b709fecfe2eba562c597469bada8d60d13514dd26d590ba</x:v>
      </x:c>
      <x:c r="R198" s="9" t="str">
        <x:v>MIX_SPORT_AVGPAID_1100_1200_ANNUAL2026</x:v>
      </x:c>
      <x:c r="S198" s="9" t="str">
        <x:v>排行榜_商品榜_销售额榜_热销_运动服_休闲服装-运休闲服装-跑步短裤_2025-11-01_2026-10-31 (9).xlsx / 默认 / 第377行 / SHA256 bf4c13b761e645dc5b709fecfe2eba562c597469bada8d60d13514dd26d590ba</x:v>
      </x:c>
    </x:row>
    <x:row r="199" ht="58" customHeight="1">
      <x:c r="A199" s="23" t="str">
        <x:v>991388238508</x:v>
      </x:c>
      <x:c r="B199" s="22"/>
      <x:c r="C199" s="22"/>
      <x:c r="D199" s="9" t="str">
        <x:v>SOAR竞速系列跑步压缩长裤</x:v>
      </x:c>
      <x:c r="E199" s="9" t="str">
        <x:v>SOAR RUNNING</x:v>
      </x:c>
      <x:c r="F199" s="9" t="str">
        <x:v>长裤</x:v>
      </x:c>
      <x:c r="G199" s="9" t="str">
        <x:v>跑步长裤</x:v>
      </x:c>
      <x:c r="H199" s="24" t="n">
        <x:v>1722.71</x:v>
      </x:c>
      <x:c r="I199" s="25" t="e">
        <x:f>HYPERLINK("https://item.taobao.com/item.htm?id=991388238508","打开商品")</x:f>
        <x:v>HYPERLINK is not implemented. linkLocation=https://item.taobao.com/item.htm?id=991388238508, friendlyName=打开商品</x:v>
      </x:c>
      <x:c r="J199" s="25" t="e">
        <x:f>HYPERLINK("https://data.zhiyitech.cn/itemDetail/overview/base?itemId=991388238508","打开知衣")</x:f>
        <x:v>HYPERLINK is not implemented. linkLocation=https://data.zhiyitech.cn/itemDetail/overview/base?itemId=991388238508, friendlyName=打开知衣</x:v>
      </x:c>
      <x:c r="K199" s="25" t="e">
        <x:f>HYPERLINK("https://img.alicdn.com/bao/uploaded/i3/2219877149975/O1CN01lWMiBhkEfXH1chua_!!2219877149975.jpg","查看主图")</x:f>
        <x:v>HYPERLINK is not implemented. linkLocation=https://img.alicdn.com/bao/uploaded/i3/2219877149975/O1CN01lWMiBhkEfXH1chua_!!2219877149975.jpg, friendlyName=查看主图</x:v>
      </x:c>
      <x:c r="L199" s="9" t="str">
        <x:v>无明确性别信息</x:v>
      </x:c>
      <x:c r="M199" s="9" t="str">
        <x:v>运动下装</x:v>
      </x:c>
      <x:c r="N199" s="9" t="str">
        <x:v>排行榜_商品榜_销售额榜_热销_运动服_休闲服装-运休闲服装-跑步短裤_2025-11-01_2026-10-31 (3).xlsx</x:v>
      </x:c>
      <x:c r="O199" s="9" t="str">
        <x:v>默认</x:v>
      </x:c>
      <x:c r="P199" s="9" t="n">
        <x:v>55</x:v>
      </x:c>
      <x:c r="Q199" s="9" t="str">
        <x:v>75c32f8ec048c7ff6d1862fee5bc8a3793f270522255a1b54f34ebdea84168ec</x:v>
      </x:c>
      <x:c r="R199" s="9" t="str">
        <x:v>MIX_SPORT_AVGPAID_1700_1800_ANNUAL2026</x:v>
      </x:c>
      <x:c r="S199" s="9" t="str">
        <x:v>排行榜_商品榜_销售额榜_热销_运动服_休闲服装-运休闲服装-跑步短裤_2025-11-01_2026-10-31 (3).xlsx / 默认 / 第55行 / SHA256 75c32f8ec048c7ff6d1862fee5bc8a3793f270522255a1b54f34ebdea84168ec</x:v>
      </x:c>
    </x:row>
    <x:row r="200" ht="58" customHeight="1">
      <x:c r="A200" s="23" t="str">
        <x:v>1008936914840</x:v>
      </x:c>
      <x:c r="B200" s="22"/>
      <x:c r="C200" s="22"/>
      <x:c r="D200" s="9" t="str">
        <x:v>Supreme摇粒绒保暖卫裤运动裤</x:v>
      </x:c>
      <x:c r="E200" s="9" t="str">
        <x:v>SUPREME</x:v>
      </x:c>
      <x:c r="F200" s="9" t="str">
        <x:v>长裤</x:v>
      </x:c>
      <x:c r="G200" s="9" t="str">
        <x:v>训练／运动长裤</x:v>
      </x:c>
      <x:c r="H200" s="24" t="n">
        <x:v>1673.14</x:v>
      </x:c>
      <x:c r="I200" s="25" t="e">
        <x:f>HYPERLINK("https://item.taobao.com/item.htm?id=1008936914840","打开商品")</x:f>
        <x:v>HYPERLINK is not implemented. linkLocation=https://item.taobao.com/item.htm?id=1008936914840, friendlyName=打开商品</x:v>
      </x:c>
      <x:c r="J200" s="25" t="e">
        <x:f>HYPERLINK("https://data.zhiyitech.cn/itemDetail/overview/base?itemId=1008936914840","打开知衣")</x:f>
        <x:v>HYPERLINK is not implemented. linkLocation=https://data.zhiyitech.cn/itemDetail/overview/base?itemId=1008936914840, friendlyName=打开知衣</x:v>
      </x:c>
      <x:c r="K200" s="25" t="e">
        <x:f>HYPERLINK("https://img.alicdn.com/bao/uploaded/i3/854491440/O1CN01FV1kjG1MVZRylbBbQ_!!854491440.jpg","查看主图")</x:f>
        <x:v>HYPERLINK is not implemented. linkLocation=https://img.alicdn.com/bao/uploaded/i3/854491440/O1CN01FV1kjG1MVZRylbBbQ_!!854491440.jpg, friendlyName=查看主图</x:v>
      </x:c>
      <x:c r="L200" s="9" t="str">
        <x:v>无明确性别信息</x:v>
      </x:c>
      <x:c r="M200" s="9" t="str">
        <x:v>运动下装</x:v>
      </x:c>
      <x:c r="N200" s="9" t="str">
        <x:v>排行榜_商品榜_销售额榜_热销_运动服_休闲服装-运休闲服装-跑步短裤_2025-11-01_2026-10-31 (4).xlsx</x:v>
      </x:c>
      <x:c r="O200" s="9" t="str">
        <x:v>默认</x:v>
      </x:c>
      <x:c r="P200" s="9" t="n">
        <x:v>23</x:v>
      </x:c>
      <x:c r="Q200" s="9" t="str">
        <x:v>f87107da07f2a69cacdf5d1934c6ee6199ee509824961182157054c4707072d8</x:v>
      </x:c>
      <x:c r="R200" s="9" t="str">
        <x:v>MIX_SPORT_AVGPAID_1600_1700_ANNUAL2026</x:v>
      </x:c>
      <x:c r="S200" s="9" t="str">
        <x:v>排行榜_商品榜_销售额榜_热销_运动服_休闲服装-运休闲服装-跑步短裤_2025-11-01_2026-10-31 (4).xlsx / 默认 / 第23行 / SHA256 f87107da07f2a69cacdf5d1934c6ee6199ee509824961182157054c4707072d8</x:v>
      </x:c>
    </x:row>
    <x:row r="201" ht="58" customHeight="1">
      <x:c r="A201" s="23" t="str">
        <x:v>1008940736844</x:v>
      </x:c>
      <x:c r="B201" s="22"/>
      <x:c r="C201" s="22"/>
      <x:c r="D201" s="9" t="str">
        <x:v>季末折扣 Supreme 25SS OLD ENGLISH SWEATPANT 爆裂纹水洗卫裤</x:v>
      </x:c>
      <x:c r="E201" s="9" t="str">
        <x:v>SUPREME</x:v>
      </x:c>
      <x:c r="F201" s="9" t="str">
        <x:v>长裤</x:v>
      </x:c>
      <x:c r="G201" s="9" t="str">
        <x:v>训练／运动长裤</x:v>
      </x:c>
      <x:c r="H201" s="24" t="n">
        <x:v>1500.55</x:v>
      </x:c>
      <x:c r="I201" s="25" t="e">
        <x:f>HYPERLINK("https://item.taobao.com/item.htm?id=1008940736844","打开商品")</x:f>
        <x:v>HYPERLINK is not implemented. linkLocation=https://item.taobao.com/item.htm?id=1008940736844, friendlyName=打开商品</x:v>
      </x:c>
      <x:c r="J201" s="25" t="e">
        <x:f>HYPERLINK("https://data.zhiyitech.cn/itemDetail/overview/base?itemId=1008940736844","打开知衣")</x:f>
        <x:v>HYPERLINK is not implemented. linkLocation=https://data.zhiyitech.cn/itemDetail/overview/base?itemId=1008940736844, friendlyName=打开知衣</x:v>
      </x:c>
      <x:c r="K201" s="25" t="e">
        <x:f>HYPERLINK("https://img.alicdn.com/i4/854491440/O1CN01qPQ9tI1MVZRtsIeCX_!!854491440.jpg","查看主图")</x:f>
        <x:v>HYPERLINK is not implemented. linkLocation=https://img.alicdn.com/i4/854491440/O1CN01qPQ9tI1MVZRtsIeCX_!!854491440.jpg, friendlyName=查看主图</x:v>
      </x:c>
      <x:c r="L201" s="9" t="str">
        <x:v>无明确性别信息</x:v>
      </x:c>
      <x:c r="M201" s="9" t="str">
        <x:v>运动下装</x:v>
      </x:c>
      <x:c r="N201" s="9" t="str">
        <x:v>排行榜_商品榜_销售额榜_热销_运动服_休闲服装-运休闲服装-跑步短裤_2025-11-01_2026-10-31 (5).xlsx</x:v>
      </x:c>
      <x:c r="O201" s="9" t="str">
        <x:v>默认</x:v>
      </x:c>
      <x:c r="P201" s="9" t="n">
        <x:v>116</x:v>
      </x:c>
      <x:c r="Q201" s="9" t="str">
        <x:v>9ad7424665e3f8b592ed8cec3e99707eea5b9bd2316d324ab5977c56b4039ec9</x:v>
      </x:c>
      <x:c r="R201" s="9" t="str">
        <x:v>MIX_SPORT_AVGPAID_1500_1600_ANNUAL2026</x:v>
      </x:c>
      <x:c r="S201" s="9" t="str">
        <x:v>排行榜_商品榜_销售额榜_热销_运动服_休闲服装-运休闲服装-跑步短裤_2025-11-01_2026-10-31 (5).xlsx / 默认 / 第116行 / SHA256 9ad7424665e3f8b592ed8cec3e99707eea5b9bd2316d324ab5977c56b4039ec9</x:v>
      </x:c>
    </x:row>
    <x:row r="202" ht="58" customHeight="1">
      <x:c r="A202" s="23" t="str">
        <x:v>1013523538390</x:v>
      </x:c>
      <x:c r="B202" s="22"/>
      <x:c r="C202" s="22"/>
      <x:c r="D202" s="9" t="str">
        <x:v>现货Supreme 25FW Polartec Reflective Pant 摇粒绒反光条运动裤</x:v>
      </x:c>
      <x:c r="E202" s="9" t="str">
        <x:v>SUPREME</x:v>
      </x:c>
      <x:c r="F202" s="9" t="str">
        <x:v>长裤</x:v>
      </x:c>
      <x:c r="G202" s="9" t="str">
        <x:v>训练／运动长裤</x:v>
      </x:c>
      <x:c r="H202" s="24" t="n">
        <x:v>1650.15</x:v>
      </x:c>
      <x:c r="I202" s="25" t="e">
        <x:f>HYPERLINK("https://item.taobao.com/item.htm?id=1013523538390","打开商品")</x:f>
        <x:v>HYPERLINK is not implemented. linkLocation=https://item.taobao.com/item.htm?id=1013523538390, friendlyName=打开商品</x:v>
      </x:c>
      <x:c r="J202" s="25" t="e">
        <x:f>HYPERLINK("https://data.zhiyitech.cn/itemDetail/overview/base?itemId=1013523538390","打开知衣")</x:f>
        <x:v>HYPERLINK is not implemented. linkLocation=https://data.zhiyitech.cn/itemDetail/overview/base?itemId=1013523538390, friendlyName=打开知衣</x:v>
      </x:c>
      <x:c r="K202" s="25" t="e">
        <x:f>HYPERLINK("https://img.alicdn.com/bao/uploaded/i2/854491440/O1CN01teB1nk1MVZS92eWbW_!!854491440.jpg","查看主图")</x:f>
        <x:v>HYPERLINK is not implemented. linkLocation=https://img.alicdn.com/bao/uploaded/i2/854491440/O1CN01teB1nk1MVZS92eWbW_!!854491440.jpg, friendlyName=查看主图</x:v>
      </x:c>
      <x:c r="L202" s="9" t="str">
        <x:v>无明确性别信息</x:v>
      </x:c>
      <x:c r="M202" s="9" t="str">
        <x:v>运动下装</x:v>
      </x:c>
      <x:c r="N202" s="9" t="str">
        <x:v>排行榜_商品榜_销售额榜_热销_运动服_休闲服装-运休闲服装-跑步短裤_2025-11-01_2026-10-31 (4).xlsx</x:v>
      </x:c>
      <x:c r="O202" s="9" t="str">
        <x:v>默认</x:v>
      </x:c>
      <x:c r="P202" s="9" t="n">
        <x:v>50</x:v>
      </x:c>
      <x:c r="Q202" s="9" t="str">
        <x:v>f87107da07f2a69cacdf5d1934c6ee6199ee509824961182157054c4707072d8</x:v>
      </x:c>
      <x:c r="R202" s="9" t="str">
        <x:v>MIX_SPORT_AVGPAID_1600_1700_ANNUAL2026</x:v>
      </x:c>
      <x:c r="S202" s="9" t="str">
        <x:v>排行榜_商品榜_销售额榜_热销_运动服_休闲服装-运休闲服装-跑步短裤_2025-11-01_2026-10-31 (4).xlsx / 默认 / 第50行 / SHA256 f87107da07f2a69cacdf5d1934c6ee6199ee509824961182157054c4707072d8</x:v>
      </x:c>
    </x:row>
    <x:row r="203" ht="58" customHeight="1">
      <x:c r="A203" s="23" t="str">
        <x:v>1030111135509</x:v>
      </x:c>
      <x:c r="B203" s="22"/>
      <x:c r="C203" s="22"/>
      <x:c r="D203" s="9" t="str">
        <x:v>现货 Supreme 26SS Umbro Cotton Ripstop Track Pant 运动休闲裤</x:v>
      </x:c>
      <x:c r="E203" s="9" t="str">
        <x:v>SUPREME</x:v>
      </x:c>
      <x:c r="F203" s="9" t="str">
        <x:v>长裤</x:v>
      </x:c>
      <x:c r="G203" s="9" t="str">
        <x:v>训练／运动长裤</x:v>
      </x:c>
      <x:c r="H203" s="24" t="n">
        <x:v>1754.37</x:v>
      </x:c>
      <x:c r="I203" s="25" t="e">
        <x:f>HYPERLINK("https://item.taobao.com/item.htm?id=1030111135509","打开商品")</x:f>
        <x:v>HYPERLINK is not implemented. linkLocation=https://item.taobao.com/item.htm?id=1030111135509, friendlyName=打开商品</x:v>
      </x:c>
      <x:c r="J203" s="25" t="e">
        <x:f>HYPERLINK("https://data.zhiyitech.cn/itemDetail/overview/base?itemId=1030111135509","打开知衣")</x:f>
        <x:v>HYPERLINK is not implemented. linkLocation=https://data.zhiyitech.cn/itemDetail/overview/base?itemId=1030111135509, friendlyName=打开知衣</x:v>
      </x:c>
      <x:c r="K203" s="25" t="e">
        <x:f>HYPERLINK("https://img.alicdn.com/bao/uploaded/i2/854491440/O1CN010zyfih1MVZSjlhe7R_!!854491440.jpg","查看主图")</x:f>
        <x:v>HYPERLINK is not implemented. linkLocation=https://img.alicdn.com/bao/uploaded/i2/854491440/O1CN010zyfih1MVZSjlhe7R_!!854491440.jpg, friendlyName=查看主图</x:v>
      </x:c>
      <x:c r="L203" s="9" t="str">
        <x:v>无明确性别信息</x:v>
      </x:c>
      <x:c r="M203" s="9" t="str">
        <x:v>运动下装</x:v>
      </x:c>
      <x:c r="N203" s="9" t="str">
        <x:v>排行榜_商品榜_销售额榜_热销_运动服_休闲服装-运休闲服装-跑步短裤_2025-11-01_2026-10-31 (3).xlsx</x:v>
      </x:c>
      <x:c r="O203" s="9" t="str">
        <x:v>默认</x:v>
      </x:c>
      <x:c r="P203" s="9" t="n">
        <x:v>38</x:v>
      </x:c>
      <x:c r="Q203" s="9" t="str">
        <x:v>75c32f8ec048c7ff6d1862fee5bc8a3793f270522255a1b54f34ebdea84168ec</x:v>
      </x:c>
      <x:c r="R203" s="9" t="str">
        <x:v>MIX_SPORT_AVGPAID_1700_1800_ANNUAL2026</x:v>
      </x:c>
      <x:c r="S203" s="9" t="str">
        <x:v>排行榜_商品榜_销售额榜_热销_运动服_休闲服装-运休闲服装-跑步短裤_2025-11-01_2026-10-31 (3).xlsx / 默认 / 第38行 / SHA256 75c32f8ec048c7ff6d1862fee5bc8a3793f270522255a1b54f34ebdea84168ec</x:v>
      </x:c>
    </x:row>
    <x:row r="204" ht="58" customHeight="1">
      <x:c r="A204" s="23" t="str">
        <x:v>1032107893613</x:v>
      </x:c>
      <x:c r="B204" s="22"/>
      <x:c r="C204" s="22"/>
      <x:c r="D204" s="9" t="str">
        <x:v>Supreme防撕裂迷彩大兜裤工装裤</x:v>
      </x:c>
      <x:c r="E204" s="9" t="str">
        <x:v>SUPREME</x:v>
      </x:c>
      <x:c r="F204" s="9" t="str">
        <x:v>长裤</x:v>
      </x:c>
      <x:c r="G204" s="9" t="str">
        <x:v>训练／运动长裤</x:v>
      </x:c>
      <x:c r="H204" s="24" t="n">
        <x:v>1778.49</x:v>
      </x:c>
      <x:c r="I204" s="25" t="e">
        <x:f>HYPERLINK("https://item.taobao.com/item.htm?id=1032107893613","打开商品")</x:f>
        <x:v>HYPERLINK is not implemented. linkLocation=https://item.taobao.com/item.htm?id=1032107893613, friendlyName=打开商品</x:v>
      </x:c>
      <x:c r="J204" s="25" t="e">
        <x:f>HYPERLINK("https://data.zhiyitech.cn/itemDetail/overview/base?itemId=1032107893613","打开知衣")</x:f>
        <x:v>HYPERLINK is not implemented. linkLocation=https://data.zhiyitech.cn/itemDetail/overview/base?itemId=1032107893613, friendlyName=打开知衣</x:v>
      </x:c>
      <x:c r="K204" s="25" t="e">
        <x:f>HYPERLINK("https://img.alicdn.com/bao/uploaded/i4/854491440/O1CN01LqGeOk1MVZSkGfJvu_!!854491440.jpg","查看主图")</x:f>
        <x:v>HYPERLINK is not implemented. linkLocation=https://img.alicdn.com/bao/uploaded/i4/854491440/O1CN01LqGeOk1MVZSkGfJvu_!!854491440.jpg, friendlyName=查看主图</x:v>
      </x:c>
      <x:c r="L204" s="9" t="str">
        <x:v>无明确性别信息</x:v>
      </x:c>
      <x:c r="M204" s="9" t="str">
        <x:v>运动下装</x:v>
      </x:c>
      <x:c r="N204" s="9" t="str">
        <x:v>排行榜_商品榜_销售额榜_热销_运动服_休闲服装-运休闲服装-跑步短裤_2025-11-01_2026-10-31 (3).xlsx</x:v>
      </x:c>
      <x:c r="O204" s="9" t="str">
        <x:v>默认</x:v>
      </x:c>
      <x:c r="P204" s="9" t="n">
        <x:v>39</x:v>
      </x:c>
      <x:c r="Q204" s="9" t="str">
        <x:v>75c32f8ec048c7ff6d1862fee5bc8a3793f270522255a1b54f34ebdea84168ec</x:v>
      </x:c>
      <x:c r="R204" s="9" t="str">
        <x:v>MIX_SPORT_AVGPAID_1700_1800_ANNUAL2026</x:v>
      </x:c>
      <x:c r="S204" s="9" t="str">
        <x:v>排行榜_商品榜_销售额榜_热销_运动服_休闲服装-运休闲服装-跑步短裤_2025-11-01_2026-10-31 (3).xlsx / 默认 / 第39行 / SHA256 75c32f8ec048c7ff6d1862fee5bc8a3793f270522255a1b54f34ebdea84168ec</x:v>
      </x:c>
    </x:row>
    <x:row r="205" ht="58" customHeight="1">
      <x:c r="A205" s="23" t="str">
        <x:v>1035401125404</x:v>
      </x:c>
      <x:c r="B205" s="22"/>
      <x:c r="C205" s="22"/>
      <x:c r="D205" s="9" t="str">
        <x:v>Supreme镂空裁剪字母运动卫裤</x:v>
      </x:c>
      <x:c r="E205" s="9" t="str">
        <x:v>SUPREME</x:v>
      </x:c>
      <x:c r="F205" s="9" t="str">
        <x:v>长裤</x:v>
      </x:c>
      <x:c r="G205" s="9" t="str">
        <x:v>训练／运动长裤</x:v>
      </x:c>
      <x:c r="H205" s="24" t="n">
        <x:v>1721.09</x:v>
      </x:c>
      <x:c r="I205" s="25" t="e">
        <x:f>HYPERLINK("https://item.taobao.com/item.htm?id=1035401125404","打开商品")</x:f>
        <x:v>HYPERLINK is not implemented. linkLocation=https://item.taobao.com/item.htm?id=1035401125404, friendlyName=打开商品</x:v>
      </x:c>
      <x:c r="J205" s="25" t="e">
        <x:f>HYPERLINK("https://data.zhiyitech.cn/itemDetail/overview/base?itemId=1035401125404","打开知衣")</x:f>
        <x:v>HYPERLINK is not implemented. linkLocation=https://data.zhiyitech.cn/itemDetail/overview/base?itemId=1035401125404, friendlyName=打开知衣</x:v>
      </x:c>
      <x:c r="K205" s="25" t="e">
        <x:f>HYPERLINK("https://img.alicdn.com/bao/uploaded/i4/854491440/O1CN01f0K5ls1MVZSqFgOfs_!!854491440.jpg","查看主图")</x:f>
        <x:v>HYPERLINK is not implemented. linkLocation=https://img.alicdn.com/bao/uploaded/i4/854491440/O1CN01f0K5ls1MVZSqFgOfs_!!854491440.jpg, friendlyName=查看主图</x:v>
      </x:c>
      <x:c r="L205" s="9" t="str">
        <x:v>无明确性别信息</x:v>
      </x:c>
      <x:c r="M205" s="9" t="str">
        <x:v>运动下装</x:v>
      </x:c>
      <x:c r="N205" s="9" t="str">
        <x:v>排行榜_商品榜_销售额榜_热销_运动服_休闲服装-运休闲服装-跑步短裤_2025-11-01_2026-10-31 (3).xlsx</x:v>
      </x:c>
      <x:c r="O205" s="9" t="str">
        <x:v>默认</x:v>
      </x:c>
      <x:c r="P205" s="9" t="n">
        <x:v>42</x:v>
      </x:c>
      <x:c r="Q205" s="9" t="str">
        <x:v>75c32f8ec048c7ff6d1862fee5bc8a3793f270522255a1b54f34ebdea84168ec</x:v>
      </x:c>
      <x:c r="R205" s="9" t="str">
        <x:v>MIX_SPORT_AVGPAID_1700_1800_ANNUAL2026</x:v>
      </x:c>
      <x:c r="S205" s="9" t="str">
        <x:v>排行榜_商品榜_销售额榜_热销_运动服_休闲服装-运休闲服装-跑步短裤_2025-11-01_2026-10-31 (3).xlsx / 默认 / 第42行 / SHA256 75c32f8ec048c7ff6d1862fee5bc8a3793f270522255a1b54f34ebdea84168ec</x:v>
      </x:c>
    </x:row>
    <x:row r="206" ht="58" customHeight="1">
      <x:c r="A206" s="23" t="str">
        <x:v>1059076390642</x:v>
      </x:c>
      <x:c r="B206" s="22"/>
      <x:c r="C206" s="22"/>
      <x:c r="D206" s="9" t="str">
        <x:v>现货 Supreme 26SS Jordan Track Pant 联名乔丹反光条运动长裤</x:v>
      </x:c>
      <x:c r="E206" s="9" t="str">
        <x:v>SUPREME</x:v>
      </x:c>
      <x:c r="F206" s="9" t="str">
        <x:v>长裤</x:v>
      </x:c>
      <x:c r="G206" s="9" t="str">
        <x:v>训练／运动长裤</x:v>
      </x:c>
      <x:c r="H206" s="24" t="n">
        <x:v>1646.86</x:v>
      </x:c>
      <x:c r="I206" s="25" t="e">
        <x:f>HYPERLINK("https://item.taobao.com/item.htm?id=1059076390642","打开商品")</x:f>
        <x:v>HYPERLINK is not implemented. linkLocation=https://item.taobao.com/item.htm?id=1059076390642, friendlyName=打开商品</x:v>
      </x:c>
      <x:c r="J206" s="25" t="e">
        <x:f>HYPERLINK("https://data.zhiyitech.cn/itemDetail/overview/base?itemId=1059076390642","打开知衣")</x:f>
        <x:v>HYPERLINK is not implemented. linkLocation=https://data.zhiyitech.cn/itemDetail/overview/base?itemId=1059076390642, friendlyName=打开知衣</x:v>
      </x:c>
      <x:c r="K206" s="25" t="e">
        <x:f>HYPERLINK("https://img.alicdn.com/bao/uploaded/i2/854491440/O1CN01yJeZWl1MVZTyO7oRm_!!854491440.jpg","查看主图")</x:f>
        <x:v>HYPERLINK is not implemented. linkLocation=https://img.alicdn.com/bao/uploaded/i2/854491440/O1CN01yJeZWl1MVZTyO7oRm_!!854491440.jpg, friendlyName=查看主图</x:v>
      </x:c>
      <x:c r="L206" s="9" t="str">
        <x:v>无明确性别信息</x:v>
      </x:c>
      <x:c r="M206" s="9" t="str">
        <x:v>运动下装</x:v>
      </x:c>
      <x:c r="N206" s="9" t="str">
        <x:v>排行榜_商品榜_销售额榜_热销_运动服_休闲服装-运休闲服装-跑步短裤_2025-11-01_2026-10-31 (4).xlsx</x:v>
      </x:c>
      <x:c r="O206" s="9" t="str">
        <x:v>默认</x:v>
      </x:c>
      <x:c r="P206" s="9" t="n">
        <x:v>29</x:v>
      </x:c>
      <x:c r="Q206" s="9" t="str">
        <x:v>f87107da07f2a69cacdf5d1934c6ee6199ee509824961182157054c4707072d8</x:v>
      </x:c>
      <x:c r="R206" s="9" t="str">
        <x:v>MIX_SPORT_AVGPAID_1600_1700_ANNUAL2026</x:v>
      </x:c>
      <x:c r="S206" s="9" t="str">
        <x:v>排行榜_商品榜_销售额榜_热销_运动服_休闲服装-运休闲服装-跑步短裤_2025-11-01_2026-10-31 (4).xlsx / 默认 / 第29行 / SHA256 f87107da07f2a69cacdf5d1934c6ee6199ee509824961182157054c4707072d8</x:v>
      </x:c>
    </x:row>
    <x:row r="207" ht="58" customHeight="1">
      <x:c r="A207" s="23" t="str">
        <x:v>1090202875830</x:v>
      </x:c>
      <x:c r="B207" s="22"/>
      <x:c r="C207" s="22"/>
      <x:c r="D207" s="9" t="str">
        <x:v>现货 Supreme 26FW Nike Paneled Sweatpant联名复古线条运动厚棉裤</x:v>
      </x:c>
      <x:c r="E207" s="9" t="str">
        <x:v>SUPREME</x:v>
      </x:c>
      <x:c r="F207" s="9" t="str">
        <x:v>长裤</x:v>
      </x:c>
      <x:c r="G207" s="9" t="str">
        <x:v>训练／运动长裤</x:v>
      </x:c>
      <x:c r="H207" s="24" t="n">
        <x:v>1398</x:v>
      </x:c>
      <x:c r="I207" s="25" t="e">
        <x:f>HYPERLINK("https://item.taobao.com/item.htm?id=1090202875830","打开商品")</x:f>
        <x:v>HYPERLINK is not implemented. linkLocation=https://item.taobao.com/item.htm?id=1090202875830, friendlyName=打开商品</x:v>
      </x:c>
      <x:c r="J207" s="25" t="e">
        <x:f>HYPERLINK("https://data.zhiyitech.cn/itemDetail/overview/base?itemId=1090202875830","打开知衣")</x:f>
        <x:v>HYPERLINK is not implemented. linkLocation=https://data.zhiyitech.cn/itemDetail/overview/base?itemId=1090202875830, friendlyName=打开知衣</x:v>
      </x:c>
      <x:c r="K207" s="25" t="e">
        <x:f>HYPERLINK("https://img.alicdn.com/bao/uploaded/i4/854491440/O1CN01VqpanvaKePH43lmS_!!854491440.jpg","查看主图")</x:f>
        <x:v>HYPERLINK is not implemented. linkLocation=https://img.alicdn.com/bao/uploaded/i4/854491440/O1CN01VqpanvaKePH43lmS_!!854491440.jpg, friendlyName=查看主图</x:v>
      </x:c>
      <x:c r="L207" s="9" t="str">
        <x:v>无明确性别信息</x:v>
      </x:c>
      <x:c r="M207" s="9" t="str">
        <x:v>运动下装</x:v>
      </x:c>
      <x:c r="N207" s="9" t="str">
        <x:v>排行榜_商品榜_销售额榜_热销_运动服_休闲服装-运休闲服装-跑步短裤_2025-11-01_2026-10-31 (7).xlsx</x:v>
      </x:c>
      <x:c r="O207" s="9" t="str">
        <x:v>默认</x:v>
      </x:c>
      <x:c r="P207" s="9" t="n">
        <x:v>157</x:v>
      </x:c>
      <x:c r="Q207" s="9" t="str">
        <x:v>b4959cd74b14f4314b9473c91799b973e0b2ff209bedfdac04b6266e6a5d9ce9</x:v>
      </x:c>
      <x:c r="R207" s="9" t="str">
        <x:v>MIX_SPORT_AVGPAID_1300_1400_ANNUAL2026</x:v>
      </x:c>
      <x:c r="S207" s="9" t="str">
        <x:v>排行榜_商品榜_销售额榜_热销_运动服_休闲服装-运休闲服装-跑步短裤_2025-11-01_2026-10-31 (7).xlsx / 默认 / 第157行 / SHA256 b4959cd74b14f4314b9473c91799b973e0b2ff209bedfdac04b6266e6a5d9ce9</x:v>
      </x:c>
    </x:row>
    <x:row r="208" ht="58" customHeight="1">
      <x:c r="A208" s="23" t="str">
        <x:v>664434885053</x:v>
      </x:c>
      <x:c r="B208" s="22"/>
      <x:c r="C208" s="22"/>
      <x:c r="D208" s="9" t="str">
        <x:v>特价 PALACE TNF Purple Label Indigo Pants 联名紫标牛仔冲锋裤</x:v>
      </x:c>
      <x:c r="E208" s="9" t="str">
        <x:v>THE NORTH FACE/北面</x:v>
      </x:c>
      <x:c r="F208" s="9" t="str">
        <x:v>长裤</x:v>
      </x:c>
      <x:c r="G208" s="9" t="str">
        <x:v>训练／运动长裤</x:v>
      </x:c>
      <x:c r="H208" s="24" t="n">
        <x:v>1950.35</x:v>
      </x:c>
      <x:c r="I208" s="25" t="e">
        <x:f>HYPERLINK("https://item.taobao.com/item.htm?id=664434885053","打开商品")</x:f>
        <x:v>HYPERLINK is not implemented. linkLocation=https://item.taobao.com/item.htm?id=664434885053, friendlyName=打开商品</x:v>
      </x:c>
      <x:c r="J208" s="25" t="e">
        <x:f>HYPERLINK("https://data.zhiyitech.cn/itemDetail/overview/base?itemId=664434885053","打开知衣")</x:f>
        <x:v>HYPERLINK is not implemented. linkLocation=https://data.zhiyitech.cn/itemDetail/overview/base?itemId=664434885053, friendlyName=打开知衣</x:v>
      </x:c>
      <x:c r="K208" s="25" t="e">
        <x:f>HYPERLINK("https://img.alicdn.com/i2/1042308751/O1CN01rVyitj2EW0hxXXcI1_!!0-item_pic.jpg","查看主图")</x:f>
        <x:v>HYPERLINK is not implemented. linkLocation=https://img.alicdn.com/i2/1042308751/O1CN01rVyitj2EW0hxXXcI1_!!0-item_pic.jpg, friendlyName=查看主图</x:v>
      </x:c>
      <x:c r="L208" s="9" t="str">
        <x:v>无明确性别信息</x:v>
      </x:c>
      <x:c r="M208" s="9" t="str">
        <x:v>运动下装</x:v>
      </x:c>
      <x:c r="N208" s="9" t="str">
        <x:v>排行榜_商品榜_销售额榜_热销_运动服_休闲服装-运休闲服装-跑步短裤_2025-11-01_2026-10-31 (1).xlsx</x:v>
      </x:c>
      <x:c r="O208" s="9" t="str">
        <x:v>默认</x:v>
      </x:c>
      <x:c r="P208" s="9" t="n">
        <x:v>62</x:v>
      </x:c>
      <x:c r="Q208" s="9" t="str">
        <x:v>9d582a2a182ec48ec8a355657c0bf2d8e8f39ae4b7c96aaa441f0d48c6b3d994</x:v>
      </x:c>
      <x:c r="R208" s="9" t="str">
        <x:v>MIX_SPORT_AVGPAID_1900_2000_ANNUAL2026</x:v>
      </x:c>
      <x:c r="S208" s="9" t="str">
        <x:v>排行榜_商品榜_销售额榜_热销_运动服_休闲服装-运休闲服装-跑步短裤_2025-11-01_2026-10-31 (1).xlsx / 默认 / 第62行 / SHA256 9d582a2a182ec48ec8a355657c0bf2d8e8f39ae4b7c96aaa441f0d48c6b3d994</x:v>
      </x:c>
    </x:row>
    <x:row r="209" ht="58" customHeight="1">
      <x:c r="A209" s="23" t="str">
        <x:v>738948222415</x:v>
      </x:c>
      <x:c r="B209" s="22"/>
      <x:c r="C209" s="22"/>
      <x:c r="D209" s="9" t="str">
        <x:v>UPON PRO时尚松紧束脚防风保暖加厚运动休闲裤</x:v>
      </x:c>
      <x:c r="E209" s="9" t="str">
        <x:v>UPON PRO</x:v>
      </x:c>
      <x:c r="F209" s="9" t="str">
        <x:v>长裤</x:v>
      </x:c>
      <x:c r="G209" s="9" t="str">
        <x:v>户外休闲长裤</x:v>
      </x:c>
      <x:c r="H209" s="24" t="n">
        <x:v>1600.26</x:v>
      </x:c>
      <x:c r="I209" s="25" t="e">
        <x:f>HYPERLINK("https://item.taobao.com/item.htm?id=738948222415","打开商品")</x:f>
        <x:v>HYPERLINK is not implemented. linkLocation=https://item.taobao.com/item.htm?id=738948222415, friendlyName=打开商品</x:v>
      </x:c>
      <x:c r="J209" s="25" t="e">
        <x:f>HYPERLINK("https://data.zhiyitech.cn/itemDetail/overview/base?itemId=738948222415","打开知衣")</x:f>
        <x:v>HYPERLINK is not implemented. linkLocation=https://data.zhiyitech.cn/itemDetail/overview/base?itemId=738948222415, friendlyName=打开知衣</x:v>
      </x:c>
      <x:c r="K209" s="25" t="e">
        <x:f>HYPERLINK("https://img.alicdn.com/bao/uploaded/i2/2212814995339/O1CN01pDXRE31pJJTKJyh53_!!0-item_pic.jpg","查看主图")</x:f>
        <x:v>HYPERLINK is not implemented. linkLocation=https://img.alicdn.com/bao/uploaded/i2/2212814995339/O1CN01pDXRE31pJJTKJyh53_!!0-item_pic.jpg, friendlyName=查看主图</x:v>
      </x:c>
      <x:c r="L209" s="9" t="str">
        <x:v>无明确性别信息</x:v>
      </x:c>
      <x:c r="M209" s="9" t="str">
        <x:v>户外裤装</x:v>
      </x:c>
      <x:c r="N209" s="9" t="str">
        <x:v>排行榜_商品榜_销售额榜_热销_户外_登山_野营_旅_旅行用品-软壳裤_2025-11-01_2026-10-31 (3).xlsx</x:v>
      </x:c>
      <x:c r="O209" s="9" t="str">
        <x:v>默认</x:v>
      </x:c>
      <x:c r="P209" s="9" t="n">
        <x:v>134</x:v>
      </x:c>
      <x:c r="Q209" s="9" t="str">
        <x:v>c6a00a403435397972d31f2c7d7699fce0fb6504d350f0466deb4fdcf72d9210</x:v>
      </x:c>
      <x:c r="R209" s="9" t="str">
        <x:v>MIX_OUTDOOR_AVGPAID_1600_1700_ANNUAL2026</x:v>
      </x:c>
      <x:c r="S209" s="9" t="str">
        <x:v>排行榜_商品榜_销售额榜_热销_户外_登山_野营_旅_旅行用品-软壳裤_2025-11-01_2026-10-31 (3).xlsx / 默认 / 第134行 / SHA256 c6a00a403435397972d31f2c7d7699fce0fb6504d350f0466deb4fdcf72d9210</x:v>
      </x:c>
    </x:row>
    <x:row r="210" ht="58" customHeight="1">
      <x:c r="A210" s="23" t="str">
        <x:v>1015794524926</x:v>
      </x:c>
      <x:c r="B210" s="22"/>
      <x:c r="C210" s="22"/>
      <x:c r="D210" s="9" t="str">
        <x:v>【春夏上新】VANGOLF Casual Basic高尔夫长裤可调节透气直筒运动</x:v>
      </x:c>
      <x:c r="E210" s="9" t="str">
        <x:v>VANGOLF</x:v>
      </x:c>
      <x:c r="F210" s="9" t="str">
        <x:v>长裤</x:v>
      </x:c>
      <x:c r="G210" s="9" t="str">
        <x:v>高尔夫长裤</x:v>
      </x:c>
      <x:c r="H210" s="24" t="n">
        <x:v>1062.6</x:v>
      </x:c>
      <x:c r="I210" s="25" t="e">
        <x:f>HYPERLINK("https://item.taobao.com/item.htm?id=1015794524926","打开商品")</x:f>
        <x:v>HYPERLINK is not implemented. linkLocation=https://item.taobao.com/item.htm?id=1015794524926, friendlyName=打开商品</x:v>
      </x:c>
      <x:c r="J210" s="25" t="e">
        <x:f>HYPERLINK("https://data.zhiyitech.cn/itemDetail/overview/base?itemId=1015794524926","打开知衣")</x:f>
        <x:v>HYPERLINK is not implemented. linkLocation=https://data.zhiyitech.cn/itemDetail/overview/base?itemId=1015794524926, friendlyName=打开知衣</x:v>
      </x:c>
      <x:c r="K210" s="25" t="e">
        <x:f>HYPERLINK("https://img.alicdn.com/bao/uploaded/i4/2221133651041/O1CN01N4oh7hFtfvI1chua_!!4611686018427386977-0-item_pic.jpg","查看主图")</x:f>
        <x:v>HYPERLINK is not implemented. linkLocation=https://img.alicdn.com/bao/uploaded/i4/2221133651041/O1CN01N4oh7hFtfvI1chua_!!4611686018427386977-0-item_pic.jpg, friendlyName=查看主图</x:v>
      </x:c>
      <x:c r="L210" s="9" t="str">
        <x:v>无明确性别信息</x:v>
      </x:c>
      <x:c r="M210" s="9" t="str">
        <x:v>高尔夫下装</x:v>
      </x:c>
      <x:c r="N210" s="9" t="str">
        <x:v>排行榜_商品榜_销售额榜_热销_运动_瑜伽_健身_球球迷用品-高尔夫裙_2025-11-01_2026-10-31 (1).xlsx</x:v>
      </x:c>
      <x:c r="O210" s="9" t="str">
        <x:v>默认</x:v>
      </x:c>
      <x:c r="P210" s="9" t="n">
        <x:v>60</x:v>
      </x:c>
      <x:c r="Q210" s="9" t="str">
        <x:v>98ce1fb2e305663a45a2560e7bc66d02cd2f0c4c4a554f49c611b7637dfdf7ab</x:v>
      </x:c>
      <x:c r="R210" s="9" t="str">
        <x:v>MIX_GOLF_AVGPAID_1000_1500_ANNUAL2026</x:v>
      </x:c>
      <x:c r="S210" s="9" t="str">
        <x:v>排行榜_商品榜_销售额榜_热销_运动_瑜伽_健身_球球迷用品-高尔夫裙_2025-11-01_2026-10-31 (1).xlsx / 默认 / 第60行 / SHA256 98ce1fb2e305663a45a2560e7bc66d02cd2f0c4c4a554f49c611b7637dfdf7ab</x:v>
      </x:c>
    </x:row>
    <x:row r="211" ht="58" customHeight="1">
      <x:c r="A211" s="23" t="str">
        <x:v>1026063692177</x:v>
      </x:c>
      <x:c r="B211" s="22"/>
      <x:c r="C211" s="22"/>
      <x:c r="D211" s="9" t="str">
        <x:v>VANGOLF Function Basic微喇长裤</x:v>
      </x:c>
      <x:c r="E211" s="9" t="str">
        <x:v>VANGOLF</x:v>
      </x:c>
      <x:c r="F211" s="9" t="str">
        <x:v>长裤</x:v>
      </x:c>
      <x:c r="G211" s="9" t="str">
        <x:v>高尔夫长裤</x:v>
      </x:c>
      <x:c r="H211" s="24" t="n">
        <x:v>1068.18</x:v>
      </x:c>
      <x:c r="I211" s="25" t="e">
        <x:f>HYPERLINK("https://item.taobao.com/item.htm?id=1026063692177","打开商品")</x:f>
        <x:v>HYPERLINK is not implemented. linkLocation=https://item.taobao.com/item.htm?id=1026063692177, friendlyName=打开商品</x:v>
      </x:c>
      <x:c r="J211" s="25" t="e">
        <x:f>HYPERLINK("https://data.zhiyitech.cn/itemDetail/overview/base?itemId=1026063692177","打开知衣")</x:f>
        <x:v>HYPERLINK is not implemented. linkLocation=https://data.zhiyitech.cn/itemDetail/overview/base?itemId=1026063692177, friendlyName=打开知衣</x:v>
      </x:c>
      <x:c r="K211" s="25" t="e">
        <x:f>HYPERLINK("https://img.alicdn.com/bao/uploaded/i2/2221133651041/O1CN01f8DsDTb69TD1chua_!!2221133651041.jpg","查看主图")</x:f>
        <x:v>HYPERLINK is not implemented. linkLocation=https://img.alicdn.com/bao/uploaded/i2/2221133651041/O1CN01f8DsDTb69TD1chua_!!2221133651041.jpg, friendlyName=查看主图</x:v>
      </x:c>
      <x:c r="L211" s="9" t="str">
        <x:v>无明确性别信息</x:v>
      </x:c>
      <x:c r="M211" s="9" t="str">
        <x:v>高尔夫下装</x:v>
      </x:c>
      <x:c r="N211" s="9" t="str">
        <x:v>排行榜_商品榜_销售额榜_热销_运动_瑜伽_健身_球球迷用品-高尔夫裙_2025-11-01_2026-10-31 (1).xlsx</x:v>
      </x:c>
      <x:c r="O211" s="9" t="str">
        <x:v>默认</x:v>
      </x:c>
      <x:c r="P211" s="9" t="n">
        <x:v>156</x:v>
      </x:c>
      <x:c r="Q211" s="9" t="str">
        <x:v>98ce1fb2e305663a45a2560e7bc66d02cd2f0c4c4a554f49c611b7637dfdf7ab</x:v>
      </x:c>
      <x:c r="R211" s="9" t="str">
        <x:v>MIX_GOLF_AVGPAID_1000_1500_ANNUAL2026</x:v>
      </x:c>
      <x:c r="S211" s="9" t="str">
        <x:v>排行榜_商品榜_销售额榜_热销_运动_瑜伽_健身_球球迷用品-高尔夫裙_2025-11-01_2026-10-31 (1).xlsx / 默认 / 第156行 / SHA256 98ce1fb2e305663a45a2560e7bc66d02cd2f0c4c4a554f49c611b7637dfdf7ab</x:v>
      </x:c>
    </x:row>
    <x:row r="212" ht="58" customHeight="1">
      <x:c r="A212" s="23" t="str">
        <x:v>1036818178649</x:v>
      </x:c>
      <x:c r="B212" s="22"/>
      <x:c r="C212" s="22"/>
      <x:c r="D212" s="9" t="str">
        <x:v>VANGOLF刺绣满印潮流高球七分裤</x:v>
      </x:c>
      <x:c r="E212" s="9" t="str">
        <x:v>VANGOLF</x:v>
      </x:c>
      <x:c r="F212" s="9" t="str">
        <x:v>长裤</x:v>
      </x:c>
      <x:c r="G212" s="9" t="str">
        <x:v>中长裤／九分裤</x:v>
      </x:c>
      <x:c r="H212" s="24" t="n">
        <x:v>1599</x:v>
      </x:c>
      <x:c r="I212" s="25" t="e">
        <x:f>HYPERLINK("https://item.taobao.com/item.htm?id=1036818178649","打开商品")</x:f>
        <x:v>HYPERLINK is not implemented. linkLocation=https://item.taobao.com/item.htm?id=1036818178649, friendlyName=打开商品</x:v>
      </x:c>
      <x:c r="J212" s="25" t="e">
        <x:f>HYPERLINK("https://data.zhiyitech.cn/itemDetail/overview/base?itemId=1036818178649","打开知衣")</x:f>
        <x:v>HYPERLINK is not implemented. linkLocation=https://data.zhiyitech.cn/itemDetail/overview/base?itemId=1036818178649, friendlyName=打开知衣</x:v>
      </x:c>
      <x:c r="K212" s="25" t="e">
        <x:f>HYPERLINK("https://img.alicdn.com/imgextra/i3/2221133651041/O1CN01d6L89Lz433F2vH2e_!!2221133651041.jpg","查看主图")</x:f>
        <x:v>HYPERLINK is not implemented. linkLocation=https://img.alicdn.com/imgextra/i3/2221133651041/O1CN01d6L89Lz433F2vH2e_!!2221133651041.jpg, friendlyName=查看主图</x:v>
      </x:c>
      <x:c r="L212" s="9" t="str">
        <x:v>无明确性别信息</x:v>
      </x:c>
      <x:c r="M212" s="9" t="str">
        <x:v>高尔夫下装</x:v>
      </x:c>
      <x:c r="N212" s="9" t="str">
        <x:v>排行榜_商品榜_销售额榜_热销_运动_瑜伽_健身_球球迷用品-高尔夫裙_2025-11-01_2026-10-31(1).xlsx</x:v>
      </x:c>
      <x:c r="O212" s="9" t="str">
        <x:v>默认</x:v>
      </x:c>
      <x:c r="P212" s="9" t="n">
        <x:v>235</x:v>
      </x:c>
      <x:c r="Q212" s="9" t="str">
        <x:v>76a41cee55316a5b2ae8ed33466d173d90824bcf6f377cac0b9f7eed45c02df4</x:v>
      </x:c>
      <x:c r="R212" s="9" t="str">
        <x:v>MIX_GOLF_AVGPAID_1500_PLUS_ANNUAL2026</x:v>
      </x:c>
      <x:c r="S212" s="9" t="str">
        <x:v>排行榜_商品榜_销售额榜_热销_运动_瑜伽_健身_球球迷用品-高尔夫裙_2025-11-01_2026-10-31(1).xlsx / 默认 / 第235行 / SHA256 76a41cee55316a5b2ae8ed33466d173d90824bcf6f377cac0b9f7eed45c02df4</x:v>
      </x:c>
    </x:row>
    <x:row r="213" ht="58" customHeight="1">
      <x:c r="A213" s="23" t="str">
        <x:v>969106275883</x:v>
      </x:c>
      <x:c r="B213" s="22"/>
      <x:c r="C213" s="22"/>
      <x:c r="D213" s="9" t="str">
        <x:v>Vuori飞奥力休闲松紧抽绳长裤</x:v>
      </x:c>
      <x:c r="E213" s="9" t="str">
        <x:v>VUORI</x:v>
      </x:c>
      <x:c r="F213" s="9" t="str">
        <x:v>长裤</x:v>
      </x:c>
      <x:c r="G213" s="9" t="str">
        <x:v>训练／运动长裤</x:v>
      </x:c>
      <x:c r="H213" s="24" t="n">
        <x:v>1033.4</x:v>
      </x:c>
      <x:c r="I213" s="25" t="e">
        <x:f>HYPERLINK("https://item.taobao.com/item.htm?id=969106275883","打开商品")</x:f>
        <x:v>HYPERLINK is not implemented. linkLocation=https://item.taobao.com/item.htm?id=969106275883, friendlyName=打开商品</x:v>
      </x:c>
      <x:c r="J213" s="25" t="e">
        <x:f>HYPERLINK("https://data.zhiyitech.cn/itemDetail/overview/base?itemId=969106275883","打开知衣")</x:f>
        <x:v>HYPERLINK is not implemented. linkLocation=https://data.zhiyitech.cn/itemDetail/overview/base?itemId=969106275883, friendlyName=打开知衣</x:v>
      </x:c>
      <x:c r="K213" s="25" t="e">
        <x:f>HYPERLINK("https://img.alicdn.com/bao/uploaded/i1/2214593356086/O1CN01DXbHyU1upRXtKZZfR_!!4611686018427380022-0-item_pic.jpg","查看主图")</x:f>
        <x:v>HYPERLINK is not implemented. linkLocation=https://img.alicdn.com/bao/uploaded/i1/2214593356086/O1CN01DXbHyU1upRXtKZZfR_!!4611686018427380022-0-item_pic.jpg, friendlyName=查看主图</x:v>
      </x:c>
      <x:c r="L213" s="9" t="str">
        <x:v>无明确性别信息</x:v>
      </x:c>
      <x:c r="M213" s="9" t="str">
        <x:v>运动下装</x:v>
      </x:c>
      <x:c r="N213" s="9" t="str">
        <x:v>排行榜_商品榜_销售额榜_热销_运动服_休闲服装-运休闲服装-跑步短裤_2025-11-01_2026-10-31 (10).xlsx</x:v>
      </x:c>
      <x:c r="O213" s="9" t="str">
        <x:v>默认</x:v>
      </x:c>
      <x:c r="P213" s="9" t="n">
        <x:v>372</x:v>
      </x:c>
      <x:c r="Q213" s="9" t="str">
        <x:v>77c2723e3730f60e82908e61638dbb3700ba4d487e03331cf25303638bb2767e</x:v>
      </x:c>
      <x:c r="R213" s="9" t="str">
        <x:v>MIX_SPORT_AVGPAID_1000_1100_ANNUAL2026</x:v>
      </x:c>
      <x:c r="S213" s="9" t="str">
        <x:v>排行榜_商品榜_销售额榜_热销_运动服_休闲服装-运休闲服装-跑步短裤_2025-11-01_2026-10-31 (10).xlsx / 默认 / 第372行 / SHA256 77c2723e3730f60e82908e61638dbb3700ba4d487e03331cf25303638bb2767e</x:v>
      </x:c>
    </x:row>
    <x:row r="214" ht="58" customHeight="1">
      <x:c r="A214" s="23" t="str">
        <x:v>969614954122</x:v>
      </x:c>
      <x:c r="B214" s="22"/>
      <x:c r="C214" s="22"/>
      <x:c r="D214" s="9" t="str">
        <x:v>Vuori飞奥力休闲松紧抽绳长裤</x:v>
      </x:c>
      <x:c r="E214" s="9" t="str">
        <x:v>VUORI</x:v>
      </x:c>
      <x:c r="F214" s="9" t="str">
        <x:v>长裤</x:v>
      </x:c>
      <x:c r="G214" s="9" t="str">
        <x:v>训练／运动长裤</x:v>
      </x:c>
      <x:c r="H214" s="24" t="n">
        <x:v>1052.11</x:v>
      </x:c>
      <x:c r="I214" s="25" t="e">
        <x:f>HYPERLINK("https://item.taobao.com/item.htm?id=969614954122","打开商品")</x:f>
        <x:v>HYPERLINK is not implemented. linkLocation=https://item.taobao.com/item.htm?id=969614954122, friendlyName=打开商品</x:v>
      </x:c>
      <x:c r="J214" s="25" t="e">
        <x:f>HYPERLINK("https://data.zhiyitech.cn/itemDetail/overview/base?itemId=969614954122","打开知衣")</x:f>
        <x:v>HYPERLINK is not implemented. linkLocation=https://data.zhiyitech.cn/itemDetail/overview/base?itemId=969614954122, friendlyName=打开知衣</x:v>
      </x:c>
      <x:c r="K214" s="25" t="e">
        <x:f>HYPERLINK("https://img.alicdn.com/bao/uploaded/i3/2214593356086/O1CN01IQaH7b1upRYzBFMiL_!!4611686018427380022-0-item_pic.jpg","查看主图")</x:f>
        <x:v>HYPERLINK is not implemented. linkLocation=https://img.alicdn.com/bao/uploaded/i3/2214593356086/O1CN01IQaH7b1upRYzBFMiL_!!4611686018427380022-0-item_pic.jpg, friendlyName=查看主图</x:v>
      </x:c>
      <x:c r="L214" s="9" t="str">
        <x:v>无明确性别信息</x:v>
      </x:c>
      <x:c r="M214" s="9" t="str">
        <x:v>运动下装</x:v>
      </x:c>
      <x:c r="N214" s="9" t="str">
        <x:v>排行榜_商品榜_销售额榜_热销_运动服_休闲服装-运休闲服装-跑步短裤_2025-11-01_2026-10-31 (10).xlsx</x:v>
      </x:c>
      <x:c r="O214" s="9" t="str">
        <x:v>默认</x:v>
      </x:c>
      <x:c r="P214" s="9" t="n">
        <x:v>331</x:v>
      </x:c>
      <x:c r="Q214" s="9" t="str">
        <x:v>77c2723e3730f60e82908e61638dbb3700ba4d487e03331cf25303638bb2767e</x:v>
      </x:c>
      <x:c r="R214" s="9" t="str">
        <x:v>MIX_SPORT_AVGPAID_1000_1100_ANNUAL2026</x:v>
      </x:c>
      <x:c r="S214" s="9" t="str">
        <x:v>排行榜_商品榜_销售额榜_热销_运动服_休闲服装-运休闲服装-跑步短裤_2025-11-01_2026-10-31 (10).xlsx / 默认 / 第331行 / SHA256 77c2723e3730f60e82908e61638dbb3700ba4d487e03331cf25303638bb2767e</x:v>
      </x:c>
    </x:row>
    <x:row r="215" ht="58" customHeight="1">
      <x:c r="A215" s="23" t="str">
        <x:v>672704349679</x:v>
      </x:c>
      <x:c r="B215" s="22"/>
      <x:c r="C215" s="22"/>
      <x:c r="D215" s="9" t="str">
        <x:v>X-BIONIC自由 运动休闲裤</x:v>
      </x:c>
      <x:c r="E215" s="9" t="str">
        <x:v>XBIONIC</x:v>
      </x:c>
      <x:c r="F215" s="9" t="str">
        <x:v>长裤</x:v>
      </x:c>
      <x:c r="G215" s="9" t="str">
        <x:v>训练／运动长裤</x:v>
      </x:c>
      <x:c r="H215" s="24" t="n">
        <x:v>1146.35</x:v>
      </x:c>
      <x:c r="I215" s="25" t="e">
        <x:f>HYPERLINK("https://item.taobao.com/item.htm?id=672704349679","打开商品")</x:f>
        <x:v>HYPERLINK is not implemented. linkLocation=https://item.taobao.com/item.htm?id=672704349679, friendlyName=打开商品</x:v>
      </x:c>
      <x:c r="J215" s="25" t="e">
        <x:f>HYPERLINK("https://data.zhiyitech.cn/itemDetail/overview/base?itemId=672704349679","打开知衣")</x:f>
        <x:v>HYPERLINK is not implemented. linkLocation=https://data.zhiyitech.cn/itemDetail/overview/base?itemId=672704349679, friendlyName=打开知衣</x:v>
      </x:c>
      <x:c r="K215" s="25" t="e">
        <x:f>HYPERLINK("https://img.alicdn.com/bao/uploaded/i1/2200737585110/O1CN016F71pwKIrVE1chua_!!2200737585110.png","查看主图")</x:f>
        <x:v>HYPERLINK is not implemented. linkLocation=https://img.alicdn.com/bao/uploaded/i1/2200737585110/O1CN016F71pwKIrVE1chua_!!2200737585110.png, friendlyName=查看主图</x:v>
      </x:c>
      <x:c r="L215" s="9" t="str">
        <x:v>无明确性别信息</x:v>
      </x:c>
      <x:c r="M215" s="9" t="str">
        <x:v>运动下装</x:v>
      </x:c>
      <x:c r="N215" s="9" t="str">
        <x:v>排行榜_商品榜_销售额榜_热销_运动服_休闲服装-运休闲服装-跑步短裤_2025-11-01_2026-10-31 (9).xlsx</x:v>
      </x:c>
      <x:c r="O215" s="9" t="str">
        <x:v>默认</x:v>
      </x:c>
      <x:c r="P215" s="9" t="n">
        <x:v>168</x:v>
      </x:c>
      <x:c r="Q215" s="9" t="str">
        <x:v>bf4c13b761e645dc5b709fecfe2eba562c597469bada8d60d13514dd26d590ba</x:v>
      </x:c>
      <x:c r="R215" s="9" t="str">
        <x:v>MIX_SPORT_AVGPAID_1100_1200_ANNUAL2026</x:v>
      </x:c>
      <x:c r="S215" s="9" t="str">
        <x:v>排行榜_商品榜_销售额榜_热销_运动服_休闲服装-运休闲服装-跑步短裤_2025-11-01_2026-10-31 (9).xlsx / 默认 / 第168行 / SHA256 bf4c13b761e645dc5b709fecfe2eba562c597469bada8d60d13514dd26d590ba</x:v>
      </x:c>
    </x:row>
    <x:row r="216" ht="58" customHeight="1">
      <x:c r="A216" s="23" t="str">
        <x:v>990601405488</x:v>
      </x:c>
      <x:c r="B216" s="22"/>
      <x:c r="C216" s="22"/>
      <x:c r="D216" s="9" t="str">
        <x:v>山下的家双面穿古色月牙裤棉麻瑜伽裤宽松初春外穿休闲裤禅修打坐</x:v>
      </x:c>
      <x:c r="E216" s="9" t="str">
        <x:v>山下的家</x:v>
      </x:c>
      <x:c r="F216" s="9" t="str">
        <x:v>长裤</x:v>
      </x:c>
      <x:c r="G216" s="9" t="str">
        <x:v>宽松瑜伽长裤</x:v>
      </x:c>
      <x:c r="H216" s="24" t="n">
        <x:v>948.45</x:v>
      </x:c>
      <x:c r="I216" s="25" t="e">
        <x:f>HYPERLINK("https://item.taobao.com/item.htm?id=990601405488","打开商品")</x:f>
        <x:v>HYPERLINK is not implemented. linkLocation=https://item.taobao.com/item.htm?id=990601405488, friendlyName=打开商品</x:v>
      </x:c>
      <x:c r="J216" s="25" t="e">
        <x:f>HYPERLINK("https://data.zhiyitech.cn/itemDetail/overview/base?itemId=990601405488","打开知衣")</x:f>
        <x:v>HYPERLINK is not implemented. linkLocation=https://data.zhiyitech.cn/itemDetail/overview/base?itemId=990601405488, friendlyName=打开知衣</x:v>
      </x:c>
      <x:c r="K216" s="25" t="e">
        <x:f>HYPERLINK("https://img.alicdn.com/bao/uploaded/i4/2212863376502/O1CN01Vl9I8qa9xAG2vH2e_!!2212863376502.jpg","查看主图")</x:f>
        <x:v>HYPERLINK is not implemented. linkLocation=https://img.alicdn.com/bao/uploaded/i4/2212863376502/O1CN01Vl9I8qa9xAG2vH2e_!!2212863376502.jpg, friendlyName=查看主图</x:v>
      </x:c>
      <x:c r="L216" s="9" t="str">
        <x:v>无明确性别信息</x:v>
      </x:c>
      <x:c r="M216" s="9" t="str">
        <x:v>瑜伽与紧身裤</x:v>
      </x:c>
      <x:c r="N216" s="9" t="str">
        <x:v>排行榜_商品榜_销售额榜_热销_运动服_休闲服装-健球迷用品-瑜伽长裤_2025-11-01_2026-10-31 (2).xlsx</x:v>
      </x:c>
      <x:c r="O216" s="9" t="str">
        <x:v>默认</x:v>
      </x:c>
      <x:c r="P216" s="9" t="n">
        <x:v>17</x:v>
      </x:c>
      <x:c r="Q216" s="9" t="str">
        <x:v>8cddb74b4b42ab56f275f05c92c7c706c83ff40bffff2914c8d64de594e32d80</x:v>
      </x:c>
      <x:c r="R216" s="9" t="str">
        <x:v>MIX_YOGA_AVGPAID_900_1000_ANNUAL2026</x:v>
      </x:c>
      <x:c r="S216" s="9" t="str">
        <x:v>排行榜_商品榜_销售额榜_热销_运动服_休闲服装-健球迷用品-瑜伽长裤_2025-11-01_2026-10-31 (2).xlsx / 默认 / 第17行 / SHA256 8cddb74b4b42ab56f275f05c92c7c706c83ff40bffff2914c8d64de594e32d80</x:v>
      </x:c>
    </x:row>
    <x:row r="217" ht="58" customHeight="1">
      <x:c r="A217" s="23" t="str">
        <x:v>1007141426060</x:v>
      </x:c>
      <x:c r="B217" s="22"/>
      <x:c r="C217" s="22"/>
      <x:c r="D217" s="9" t="str">
        <x:v>北面UE设计防泼水棉裤</x:v>
      </x:c>
      <x:c r="E217" s="9" t="str">
        <x:v>未提供品牌</x:v>
      </x:c>
      <x:c r="F217" s="9" t="str">
        <x:v>长裤</x:v>
      </x:c>
      <x:c r="G217" s="9" t="str">
        <x:v>训练／运动长裤</x:v>
      </x:c>
      <x:c r="H217" s="24" t="n">
        <x:v>1150.72</x:v>
      </x:c>
      <x:c r="I217" s="25" t="e">
        <x:f>HYPERLINK("https://item.taobao.com/item.htm?id=1007141426060","打开商品")</x:f>
        <x:v>HYPERLINK is not implemented. linkLocation=https://item.taobao.com/item.htm?id=1007141426060, friendlyName=打开商品</x:v>
      </x:c>
      <x:c r="J217" s="25" t="e">
        <x:f>HYPERLINK("https://data.zhiyitech.cn/itemDetail/overview/base?itemId=1007141426060","打开知衣")</x:f>
        <x:v>HYPERLINK is not implemented. linkLocation=https://data.zhiyitech.cn/itemDetail/overview/base?itemId=1007141426060, friendlyName=打开知衣</x:v>
      </x:c>
      <x:c r="K217" s="25" t="e">
        <x:f>HYPERLINK("https://img.alicdn.com/bao/uploaded/i1/97241050/O1CN013x4uGF1JcwywGPhdv_!!97241050.jpg","查看主图")</x:f>
        <x:v>HYPERLINK is not implemented. linkLocation=https://img.alicdn.com/bao/uploaded/i1/97241050/O1CN013x4uGF1JcwywGPhdv_!!97241050.jpg, friendlyName=查看主图</x:v>
      </x:c>
      <x:c r="L217" s="9" t="str">
        <x:v>无明确性别信息</x:v>
      </x:c>
      <x:c r="M217" s="9" t="str">
        <x:v>运动下装</x:v>
      </x:c>
      <x:c r="N217" s="9" t="str">
        <x:v>排行榜_商品榜_销售额榜_热销_运动服_休闲服装-运休闲服装-跑步短裤_2025-11-01_2026-10-31 (9).xlsx</x:v>
      </x:c>
      <x:c r="O217" s="9" t="str">
        <x:v>默认</x:v>
      </x:c>
      <x:c r="P217" s="9" t="n">
        <x:v>394</x:v>
      </x:c>
      <x:c r="Q217" s="9" t="str">
        <x:v>bf4c13b761e645dc5b709fecfe2eba562c597469bada8d60d13514dd26d590ba</x:v>
      </x:c>
      <x:c r="R217" s="9" t="str">
        <x:v>MIX_SPORT_AVGPAID_1100_1200_ANNUAL2026</x:v>
      </x:c>
      <x:c r="S217" s="9" t="str">
        <x:v>排行榜_商品榜_销售额榜_热销_运动服_休闲服装-运休闲服装-跑步短裤_2025-11-01_2026-10-31 (9).xlsx / 默认 / 第394行 / SHA256 bf4c13b761e645dc5b709fecfe2eba562c597469bada8d60d13514dd26d590ba</x:v>
      </x:c>
    </x:row>
    <x:row r="218" ht="58" customHeight="1">
      <x:c r="A218" s="23" t="str">
        <x:v>1010028413749</x:v>
      </x:c>
      <x:c r="B218" s="22"/>
      <x:c r="C218" s="22"/>
      <x:c r="D218" s="9" t="str">
        <x:v>现货ANACHRONORM LOOSE DENIM WIDE EASY 宽松喷绘直筒休闲裤25FW</x:v>
      </x:c>
      <x:c r="E218" s="9" t="str">
        <x:v>未提供品牌</x:v>
      </x:c>
      <x:c r="F218" s="9" t="str">
        <x:v>长裤</x:v>
      </x:c>
      <x:c r="G218" s="9" t="str">
        <x:v>训练／运动长裤</x:v>
      </x:c>
      <x:c r="H218" s="24" t="n">
        <x:v>1549.48</x:v>
      </x:c>
      <x:c r="I218" s="25" t="e">
        <x:f>HYPERLINK("https://item.taobao.com/item.htm?id=1010028413749","打开商品")</x:f>
        <x:v>HYPERLINK is not implemented. linkLocation=https://item.taobao.com/item.htm?id=1010028413749, friendlyName=打开商品</x:v>
      </x:c>
      <x:c r="J218" s="25" t="e">
        <x:f>HYPERLINK("https://data.zhiyitech.cn/itemDetail/overview/base?itemId=1010028413749","打开知衣")</x:f>
        <x:v>HYPERLINK is not implemented. linkLocation=https://data.zhiyitech.cn/itemDetail/overview/base?itemId=1010028413749, friendlyName=打开知衣</x:v>
      </x:c>
      <x:c r="K218" s="25" t="e">
        <x:f>HYPERLINK("https://img.alicdn.com/bao/uploaded/i4/2923146621/O1CN01EXT8o31ymTT2zpMx1_!!2923146621.jpg","查看主图")</x:f>
        <x:v>HYPERLINK is not implemented. linkLocation=https://img.alicdn.com/bao/uploaded/i4/2923146621/O1CN01EXT8o31ymTT2zpMx1_!!2923146621.jpg, friendlyName=查看主图</x:v>
      </x:c>
      <x:c r="L218" s="9" t="str">
        <x:v>无明确性别信息</x:v>
      </x:c>
      <x:c r="M218" s="9" t="str">
        <x:v>运动下装</x:v>
      </x:c>
      <x:c r="N218" s="9" t="str">
        <x:v>排行榜_商品榜_销售额榜_热销_运动服_休闲服装-运休闲服装-跑步短裤_2025-11-01_2026-10-31 (5).xlsx</x:v>
      </x:c>
      <x:c r="O218" s="9" t="str">
        <x:v>默认</x:v>
      </x:c>
      <x:c r="P218" s="9" t="n">
        <x:v>114</x:v>
      </x:c>
      <x:c r="Q218" s="9" t="str">
        <x:v>9ad7424665e3f8b592ed8cec3e99707eea5b9bd2316d324ab5977c56b4039ec9</x:v>
      </x:c>
      <x:c r="R218" s="9" t="str">
        <x:v>MIX_SPORT_AVGPAID_1500_1600_ANNUAL2026</x:v>
      </x:c>
      <x:c r="S218" s="9" t="str">
        <x:v>排行榜_商品榜_销售额榜_热销_运动服_休闲服装-运休闲服装-跑步短裤_2025-11-01_2026-10-31 (5).xlsx / 默认 / 第114行 / SHA256 9ad7424665e3f8b592ed8cec3e99707eea5b9bd2316d324ab5977c56b4039ec9</x:v>
      </x:c>
    </x:row>
    <x:row r="219" ht="58" customHeight="1">
      <x:c r="A219" s="23" t="str">
        <x:v>1011758947141</x:v>
      </x:c>
      <x:c r="B219" s="22"/>
      <x:c r="C219" s="22"/>
      <x:c r="D219" s="9" t="str">
        <x:v>现货授权nanamica Double Pleated Chino Pants 宽锥形双褶裤26SS</x:v>
      </x:c>
      <x:c r="E219" s="9" t="str">
        <x:v>未提供品牌</x:v>
      </x:c>
      <x:c r="F219" s="9" t="str">
        <x:v>长裤</x:v>
      </x:c>
      <x:c r="G219" s="9" t="str">
        <x:v>训练／运动长裤</x:v>
      </x:c>
      <x:c r="H219" s="24" t="n">
        <x:v>1499</x:v>
      </x:c>
      <x:c r="I219" s="25" t="e">
        <x:f>HYPERLINK("https://item.taobao.com/item.htm?id=1011758947141","打开商品")</x:f>
        <x:v>HYPERLINK is not implemented. linkLocation=https://item.taobao.com/item.htm?id=1011758947141, friendlyName=打开商品</x:v>
      </x:c>
      <x:c r="J219" s="25" t="e">
        <x:f>HYPERLINK("https://data.zhiyitech.cn/itemDetail/overview/base?itemId=1011758947141","打开知衣")</x:f>
        <x:v>HYPERLINK is not implemented. linkLocation=https://data.zhiyitech.cn/itemDetail/overview/base?itemId=1011758947141, friendlyName=打开知衣</x:v>
      </x:c>
      <x:c r="K219" s="25" t="e">
        <x:f>HYPERLINK("https://img.alicdn.com/bao/uploaded/i1/2923146621/O1CN01mIkTAf1ymTT95YeF6_!!2923146621.jpg","查看主图")</x:f>
        <x:v>HYPERLINK is not implemented. linkLocation=https://img.alicdn.com/bao/uploaded/i1/2923146621/O1CN01mIkTAf1ymTT95YeF6_!!2923146621.jpg, friendlyName=查看主图</x:v>
      </x:c>
      <x:c r="L219" s="9" t="str">
        <x:v>无明确性别信息</x:v>
      </x:c>
      <x:c r="M219" s="9" t="str">
        <x:v>运动下装</x:v>
      </x:c>
      <x:c r="N219" s="9" t="str">
        <x:v>排行榜_商品榜_销售额榜_热销_运动服_休闲服装-运休闲服装-跑步短裤_2025-11-01_2026-10-31 (6).xlsx</x:v>
      </x:c>
      <x:c r="O219" s="9" t="str">
        <x:v>默认</x:v>
      </x:c>
      <x:c r="P219" s="9" t="n">
        <x:v>67</x:v>
      </x:c>
      <x:c r="Q219" s="9" t="str">
        <x:v>51c5baf852346f6326f6a242f8205ac9db74e4145a36be5e01e3352750e8cecc</x:v>
      </x:c>
      <x:c r="R219" s="9" t="str">
        <x:v>MIX_SPORT_AVGPAID_1400_1500_ANNUAL2026</x:v>
      </x:c>
      <x:c r="S219" s="9" t="str">
        <x:v>排行榜_商品榜_销售额榜_热销_运动服_休闲服装-运休闲服装-跑步短裤_2025-11-01_2026-10-31 (6).xlsx / 默认 / 第67行 / SHA256 51c5baf852346f6326f6a242f8205ac9db74e4145a36be5e01e3352750e8cecc</x:v>
      </x:c>
    </x:row>
    <x:row r="220" ht="58" customHeight="1">
      <x:c r="A220" s="23" t="str">
        <x:v>1019931651274</x:v>
      </x:c>
      <x:c r="B220" s="22"/>
      <x:c r="C220" s="22"/>
      <x:c r="D220" s="9" t="str">
        <x:v>现货授权nanamica Wide Chino Pants 宽锥形斜纹棉布休闲裤26SS</x:v>
      </x:c>
      <x:c r="E220" s="9" t="str">
        <x:v>未提供品牌</x:v>
      </x:c>
      <x:c r="F220" s="9" t="str">
        <x:v>长裤</x:v>
      </x:c>
      <x:c r="G220" s="9" t="str">
        <x:v>训练／运动长裤</x:v>
      </x:c>
      <x:c r="H220" s="24" t="n">
        <x:v>1250.65</x:v>
      </x:c>
      <x:c r="I220" s="25" t="e">
        <x:f>HYPERLINK("https://item.taobao.com/item.htm?id=1019931651274","打开商品")</x:f>
        <x:v>HYPERLINK is not implemented. linkLocation=https://item.taobao.com/item.htm?id=1019931651274, friendlyName=打开商品</x:v>
      </x:c>
      <x:c r="J220" s="25" t="e">
        <x:f>HYPERLINK("https://data.zhiyitech.cn/itemDetail/overview/base?itemId=1019931651274","打开知衣")</x:f>
        <x:v>HYPERLINK is not implemented. linkLocation=https://data.zhiyitech.cn/itemDetail/overview/base?itemId=1019931651274, friendlyName=打开知衣</x:v>
      </x:c>
      <x:c r="K220" s="25" t="e">
        <x:f>HYPERLINK("https://img.alicdn.com/bao/uploaded/i2/2923146621/O1CN01CSzqs81ymTTT9wEmW_!!2923146621.jpg","查看主图")</x:f>
        <x:v>HYPERLINK is not implemented. linkLocation=https://img.alicdn.com/bao/uploaded/i2/2923146621/O1CN01CSzqs81ymTTT9wEmW_!!2923146621.jpg, friendlyName=查看主图</x:v>
      </x:c>
      <x:c r="L220" s="9" t="str">
        <x:v>无明确性别信息</x:v>
      </x:c>
      <x:c r="M220" s="9" t="str">
        <x:v>运动下装</x:v>
      </x:c>
      <x:c r="N220" s="9" t="str">
        <x:v>排行榜_商品榜_销售额榜_热销_运动服_休闲服装-运休闲服装-跑步短裤_2025-11-01_2026-10-31 (8).xlsx</x:v>
      </x:c>
      <x:c r="O220" s="9" t="str">
        <x:v>默认</x:v>
      </x:c>
      <x:c r="P220" s="9" t="n">
        <x:v>298</x:v>
      </x:c>
      <x:c r="Q220" s="9" t="str">
        <x:v>188467edd382ec56460cb456b88a35e4bc41edeb6d84588a2971ef0bea45a429</x:v>
      </x:c>
      <x:c r="R220" s="9" t="str">
        <x:v>MIX_SPORT_AVGPAID_1200_1300_ANNUAL2026</x:v>
      </x:c>
      <x:c r="S220" s="9" t="str">
        <x:v>排行榜_商品榜_销售额榜_热销_运动服_休闲服装-运休闲服装-跑步短裤_2025-11-01_2026-10-31 (8).xlsx / 默认 / 第298行 / SHA256 188467edd382ec56460cb456b88a35e4bc41edeb6d84588a2971ef0bea45a429</x:v>
      </x:c>
    </x:row>
    <x:row r="221" ht="58" customHeight="1">
      <x:c r="A221" s="23" t="str">
        <x:v>1021432502201</x:v>
      </x:c>
      <x:c r="B221" s="22"/>
      <x:c r="C221" s="22"/>
      <x:c r="D221" s="9" t="str">
        <x:v>现货授权Liberaiders DENIM SARROUEL PANTS 复古破坏牛仔裤26SS</x:v>
      </x:c>
      <x:c r="E221" s="9" t="str">
        <x:v>未提供品牌</x:v>
      </x:c>
      <x:c r="F221" s="9" t="str">
        <x:v>长裤</x:v>
      </x:c>
      <x:c r="G221" s="9" t="str">
        <x:v>训练／运动长裤</x:v>
      </x:c>
      <x:c r="H221" s="24" t="n">
        <x:v>1819.38</x:v>
      </x:c>
      <x:c r="I221" s="25" t="e">
        <x:f>HYPERLINK("https://item.taobao.com/item.htm?id=1021432502201","打开商品")</x:f>
        <x:v>HYPERLINK is not implemented. linkLocation=https://item.taobao.com/item.htm?id=1021432502201, friendlyName=打开商品</x:v>
      </x:c>
      <x:c r="J221" s="25" t="e">
        <x:f>HYPERLINK("https://data.zhiyitech.cn/itemDetail/overview/base?itemId=1021432502201","打开知衣")</x:f>
        <x:v>HYPERLINK is not implemented. linkLocation=https://data.zhiyitech.cn/itemDetail/overview/base?itemId=1021432502201, friendlyName=打开知衣</x:v>
      </x:c>
      <x:c r="K221" s="25" t="e">
        <x:f>HYPERLINK("https://img.alicdn.com/bao/uploaded/i1/2923146621/O1CN01aVWdd51ymTTTk4f51_!!2923146621.jpg","查看主图")</x:f>
        <x:v>HYPERLINK is not implemented. linkLocation=https://img.alicdn.com/bao/uploaded/i1/2923146621/O1CN01aVWdd51ymTTTk4f51_!!2923146621.jpg, friendlyName=查看主图</x:v>
      </x:c>
      <x:c r="L221" s="9" t="str">
        <x:v>无明确性别信息</x:v>
      </x:c>
      <x:c r="M221" s="9" t="str">
        <x:v>运动下装</x:v>
      </x:c>
      <x:c r="N221" s="9" t="str">
        <x:v>排行榜_商品榜_销售额榜_热销_运动服_休闲服装-运休闲服装-跑步短裤_2025-11-01_2026-10-31 (2).xlsx</x:v>
      </x:c>
      <x:c r="O221" s="9" t="str">
        <x:v>默认</x:v>
      </x:c>
      <x:c r="P221" s="9" t="n">
        <x:v>28</x:v>
      </x:c>
      <x:c r="Q221" s="9" t="str">
        <x:v>d4303838acbe96e5d87b9779c87272c941a19ebdcbae2ed4b34c418160904013</x:v>
      </x:c>
      <x:c r="R221" s="9" t="str">
        <x:v>MIX_SPORT_AVGPAID_1800_1900_ANNUAL2026</x:v>
      </x:c>
      <x:c r="S221" s="9" t="str">
        <x:v>排行榜_商品榜_销售额榜_热销_运动服_休闲服装-运休闲服装-跑步短裤_2025-11-01_2026-10-31 (2).xlsx / 默认 / 第28行 / SHA256 d4303838acbe96e5d87b9779c87272c941a19ebdcbae2ed4b34c418160904013</x:v>
      </x:c>
    </x:row>
    <x:row r="222" ht="58" customHeight="1">
      <x:c r="A222" s="23" t="str">
        <x:v>1022925557728</x:v>
      </x:c>
      <x:c r="B222" s="22"/>
      <x:c r="C222" s="22"/>
      <x:c r="D222" s="9" t="str">
        <x:v>studious日本代购~高腰垂感阔腿西装长裤</x:v>
      </x:c>
      <x:c r="E222" s="9" t="str">
        <x:v>未提供品牌</x:v>
      </x:c>
      <x:c r="F222" s="9" t="str">
        <x:v>长裤</x:v>
      </x:c>
      <x:c r="G222" s="9" t="str">
        <x:v>训练／运动长裤</x:v>
      </x:c>
      <x:c r="H222" s="24" t="n">
        <x:v>1485</x:v>
      </x:c>
      <x:c r="I222" s="25" t="e">
        <x:f>HYPERLINK("https://item.taobao.com/item.htm?id=1022925557728","打开商品")</x:f>
        <x:v>HYPERLINK is not implemented. linkLocation=https://item.taobao.com/item.htm?id=1022925557728, friendlyName=打开商品</x:v>
      </x:c>
      <x:c r="J222" s="25" t="e">
        <x:f>HYPERLINK("https://data.zhiyitech.cn/itemDetail/overview/base?itemId=1022925557728","打开知衣")</x:f>
        <x:v>HYPERLINK is not implemented. linkLocation=https://data.zhiyitech.cn/itemDetail/overview/base?itemId=1022925557728, friendlyName=打开知衣</x:v>
      </x:c>
      <x:c r="K222" s="25" t="e">
        <x:f>HYPERLINK("https://img.alicdn.com/bao/uploaded/i4/845925391/O1CN01SfECD61ph8JXNl4Es~crop,125,0,750,1000~_!!845925391.jpg","查看主图")</x:f>
        <x:v>HYPERLINK is not implemented. linkLocation=https://img.alicdn.com/bao/uploaded/i4/845925391/O1CN01SfECD61ph8JXNl4Es~crop,125,0,750,1000~_!!845925391.jpg, friendlyName=查看主图</x:v>
      </x:c>
      <x:c r="L222" s="9" t="str">
        <x:v>无明确性别信息</x:v>
      </x:c>
      <x:c r="M222" s="9" t="str">
        <x:v>运动下装</x:v>
      </x:c>
      <x:c r="N222" s="9" t="str">
        <x:v>排行榜_商品榜_销售额榜_热销_运动服_休闲服装-运休闲服装-跑步短裤_2025-11-01_2026-10-31 (6).xlsx</x:v>
      </x:c>
      <x:c r="O222" s="9" t="str">
        <x:v>默认</x:v>
      </x:c>
      <x:c r="P222" s="9" t="n">
        <x:v>110</x:v>
      </x:c>
      <x:c r="Q222" s="9" t="str">
        <x:v>51c5baf852346f6326f6a242f8205ac9db74e4145a36be5e01e3352750e8cecc</x:v>
      </x:c>
      <x:c r="R222" s="9" t="str">
        <x:v>MIX_SPORT_AVGPAID_1400_1500_ANNUAL2026</x:v>
      </x:c>
      <x:c r="S222" s="9" t="str">
        <x:v>排行榜_商品榜_销售额榜_热销_运动服_休闲服装-运休闲服装-跑步短裤_2025-11-01_2026-10-31 (6).xlsx / 默认 / 第110行 / SHA256 51c5baf852346f6326f6a242f8205ac9db74e4145a36be5e01e3352750e8cecc</x:v>
      </x:c>
    </x:row>
    <x:row r="223" ht="58" customHeight="1">
      <x:c r="A223" s="23" t="str">
        <x:v>1023013154431</x:v>
      </x:c>
      <x:c r="B223" s="22"/>
      <x:c r="C223" s="22"/>
      <x:c r="D223" s="9" t="str">
        <x:v>现货N.HOOLYWOOD COMPILE×Dickies /2TUCKS TROUSERS 休闲工装裤</x:v>
      </x:c>
      <x:c r="E223" s="9" t="str">
        <x:v>未提供品牌</x:v>
      </x:c>
      <x:c r="F223" s="9" t="str">
        <x:v>长裤</x:v>
      </x:c>
      <x:c r="G223" s="9" t="str">
        <x:v>训练／运动长裤</x:v>
      </x:c>
      <x:c r="H223" s="24" t="n">
        <x:v>1427.53</x:v>
      </x:c>
      <x:c r="I223" s="25" t="e">
        <x:f>HYPERLINK("https://item.taobao.com/item.htm?id=1023013154431","打开商品")</x:f>
        <x:v>HYPERLINK is not implemented. linkLocation=https://item.taobao.com/item.htm?id=1023013154431, friendlyName=打开商品</x:v>
      </x:c>
      <x:c r="J223" s="25" t="e">
        <x:f>HYPERLINK("https://data.zhiyitech.cn/itemDetail/overview/base?itemId=1023013154431","打开知衣")</x:f>
        <x:v>HYPERLINK is not implemented. linkLocation=https://data.zhiyitech.cn/itemDetail/overview/base?itemId=1023013154431, friendlyName=打开知衣</x:v>
      </x:c>
      <x:c r="K223" s="25" t="e">
        <x:f>HYPERLINK("https://img.alicdn.com/bao/uploaded/i4/2923146621/O1CN011XgagK1ymTTSGjjLd~crop,116,36,1199,1199~_!!2923146621.jpg","查看主图")</x:f>
        <x:v>HYPERLINK is not implemented. linkLocation=https://img.alicdn.com/bao/uploaded/i4/2923146621/O1CN011XgagK1ymTTSGjjLd~crop,116,36,1199,1199~_!!2923146621.jpg, friendlyName=查看主图</x:v>
      </x:c>
      <x:c r="L223" s="9" t="str">
        <x:v>无明确性别信息</x:v>
      </x:c>
      <x:c r="M223" s="9" t="str">
        <x:v>运动下装</x:v>
      </x:c>
      <x:c r="N223" s="9" t="str">
        <x:v>排行榜_商品榜_销售额榜_热销_运动服_休闲服装-运休闲服装-跑步短裤_2025-11-01_2026-10-31 (6).xlsx</x:v>
      </x:c>
      <x:c r="O223" s="9" t="str">
        <x:v>默认</x:v>
      </x:c>
      <x:c r="P223" s="9" t="n">
        <x:v>65</x:v>
      </x:c>
      <x:c r="Q223" s="9" t="str">
        <x:v>51c5baf852346f6326f6a242f8205ac9db74e4145a36be5e01e3352750e8cecc</x:v>
      </x:c>
      <x:c r="R223" s="9" t="str">
        <x:v>MIX_SPORT_AVGPAID_1400_1500_ANNUAL2026</x:v>
      </x:c>
      <x:c r="S223" s="9" t="str">
        <x:v>排行榜_商品榜_销售额榜_热销_运动服_休闲服装-运休闲服装-跑步短裤_2025-11-01_2026-10-31 (6).xlsx / 默认 / 第65行 / SHA256 51c5baf852346f6326f6a242f8205ac9db74e4145a36be5e01e3352750e8cecc</x:v>
      </x:c>
    </x:row>
    <x:row r="224" ht="58" customHeight="1">
      <x:c r="A224" s="23" t="str">
        <x:v>1023107156833</x:v>
      </x:c>
      <x:c r="B224" s="22"/>
      <x:c r="C224" s="22"/>
      <x:c r="D224" s="9" t="str">
        <x:v>现货授权Liberaiders SARROUEL CHINO PAINTER PANTS 工装裤26SS</x:v>
      </x:c>
      <x:c r="E224" s="9" t="str">
        <x:v>未提供品牌</x:v>
      </x:c>
      <x:c r="F224" s="9" t="str">
        <x:v>长裤</x:v>
      </x:c>
      <x:c r="G224" s="9" t="str">
        <x:v>训练／运动长裤</x:v>
      </x:c>
      <x:c r="H224" s="24" t="n">
        <x:v>1700.28</x:v>
      </x:c>
      <x:c r="I224" s="25" t="e">
        <x:f>HYPERLINK("https://item.taobao.com/item.htm?id=1023107156833","打开商品")</x:f>
        <x:v>HYPERLINK is not implemented. linkLocation=https://item.taobao.com/item.htm?id=1023107156833, friendlyName=打开商品</x:v>
      </x:c>
      <x:c r="J224" s="25" t="e">
        <x:f>HYPERLINK("https://data.zhiyitech.cn/itemDetail/overview/base?itemId=1023107156833","打开知衣")</x:f>
        <x:v>HYPERLINK is not implemented. linkLocation=https://data.zhiyitech.cn/itemDetail/overview/base?itemId=1023107156833, friendlyName=打开知衣</x:v>
      </x:c>
      <x:c r="K224" s="25" t="e">
        <x:f>HYPERLINK("https://img.alicdn.com/bao/uploaded/i4/2923146621/O1CN01nlCHqh1ymTTPAEWDE_!!2923146621.jpg","查看主图")</x:f>
        <x:v>HYPERLINK is not implemented. linkLocation=https://img.alicdn.com/bao/uploaded/i4/2923146621/O1CN01nlCHqh1ymTTPAEWDE_!!2923146621.jpg, friendlyName=查看主图</x:v>
      </x:c>
      <x:c r="L224" s="9" t="str">
        <x:v>无明确性别信息</x:v>
      </x:c>
      <x:c r="M224" s="9" t="str">
        <x:v>运动下装</x:v>
      </x:c>
      <x:c r="N224" s="9" t="str">
        <x:v>排行榜_商品榜_销售额榜_热销_运动服_休闲服装-运休闲服装-跑步短裤_2025-11-01_2026-10-31 (3).xlsx</x:v>
      </x:c>
      <x:c r="O224" s="9" t="str">
        <x:v>默认</x:v>
      </x:c>
      <x:c r="P224" s="9" t="n">
        <x:v>69</x:v>
      </x:c>
      <x:c r="Q224" s="9" t="str">
        <x:v>75c32f8ec048c7ff6d1862fee5bc8a3793f270522255a1b54f34ebdea84168ec</x:v>
      </x:c>
      <x:c r="R224" s="9" t="str">
        <x:v>MIX_SPORT_AVGPAID_1700_1800_ANNUAL2026</x:v>
      </x:c>
      <x:c r="S224" s="9" t="str">
        <x:v>排行榜_商品榜_销售额榜_热销_运动服_休闲服装-运休闲服装-跑步短裤_2025-11-01_2026-10-31 (3).xlsx / 默认 / 第69行 / SHA256 75c32f8ec048c7ff6d1862fee5bc8a3793f270522255a1b54f34ebdea84168ec</x:v>
      </x:c>
    </x:row>
    <x:row r="225" ht="58" customHeight="1">
      <x:c r="A225" s="23" t="str">
        <x:v>1029885253818</x:v>
      </x:c>
      <x:c r="B225" s="22"/>
      <x:c r="C225" s="22"/>
      <x:c r="D225" s="9" t="str">
        <x:v>现货Liberaiders 6-POCKET ARMY BAGGY PANTS 军事风工装裤26SS</x:v>
      </x:c>
      <x:c r="E225" s="9" t="str">
        <x:v>未提供品牌</x:v>
      </x:c>
      <x:c r="F225" s="9" t="str">
        <x:v>长裤</x:v>
      </x:c>
      <x:c r="G225" s="9" t="str">
        <x:v>训练／运动长裤</x:v>
      </x:c>
      <x:c r="H225" s="24" t="n">
        <x:v>1564.52</x:v>
      </x:c>
      <x:c r="I225" s="25" t="e">
        <x:f>HYPERLINK("https://item.taobao.com/item.htm?id=1029885253818","打开商品")</x:f>
        <x:v>HYPERLINK is not implemented. linkLocation=https://item.taobao.com/item.htm?id=1029885253818, friendlyName=打开商品</x:v>
      </x:c>
      <x:c r="J225" s="25" t="e">
        <x:f>HYPERLINK("https://data.zhiyitech.cn/itemDetail/overview/base?itemId=1029885253818","打开知衣")</x:f>
        <x:v>HYPERLINK is not implemented. linkLocation=https://data.zhiyitech.cn/itemDetail/overview/base?itemId=1029885253818, friendlyName=打开知衣</x:v>
      </x:c>
      <x:c r="K225" s="25" t="e">
        <x:f>HYPERLINK("https://img.alicdn.com/bao/uploaded/i3/2923146621/O1CN0148a9BE1ymTTi7LMq2_!!2923146621.jpg","查看主图")</x:f>
        <x:v>HYPERLINK is not implemented. linkLocation=https://img.alicdn.com/bao/uploaded/i3/2923146621/O1CN0148a9BE1ymTTi7LMq2_!!2923146621.jpg, friendlyName=查看主图</x:v>
      </x:c>
      <x:c r="L225" s="9" t="str">
        <x:v>无明确性别信息</x:v>
      </x:c>
      <x:c r="M225" s="9" t="str">
        <x:v>运动下装</x:v>
      </x:c>
      <x:c r="N225" s="9" t="str">
        <x:v>排行榜_商品榜_销售额榜_热销_运动服_休闲服装-运休闲服装-跑步短裤_2025-11-01_2026-10-31 (5).xlsx</x:v>
      </x:c>
      <x:c r="O225" s="9" t="str">
        <x:v>默认</x:v>
      </x:c>
      <x:c r="P225" s="9" t="n">
        <x:v>121</x:v>
      </x:c>
      <x:c r="Q225" s="9" t="str">
        <x:v>9ad7424665e3f8b592ed8cec3e99707eea5b9bd2316d324ab5977c56b4039ec9</x:v>
      </x:c>
      <x:c r="R225" s="9" t="str">
        <x:v>MIX_SPORT_AVGPAID_1500_1600_ANNUAL2026</x:v>
      </x:c>
      <x:c r="S225" s="9" t="str">
        <x:v>排行榜_商品榜_销售额榜_热销_运动服_休闲服装-运休闲服装-跑步短裤_2025-11-01_2026-10-31 (5).xlsx / 默认 / 第121行 / SHA256 9ad7424665e3f8b592ed8cec3e99707eea5b9bd2316d324ab5977c56b4039ec9</x:v>
      </x:c>
    </x:row>
    <x:row r="226" ht="58" customHeight="1">
      <x:c r="A226" s="23" t="str">
        <x:v>1030678900984</x:v>
      </x:c>
      <x:c r="B226" s="22"/>
      <x:c r="C226" s="22"/>
      <x:c r="D226" s="9" t="str">
        <x:v>现货授权 Liberaiders SUPPLEX NYLON SLACKS 尼龙休闲西裤26SS</x:v>
      </x:c>
      <x:c r="E226" s="9" t="str">
        <x:v>未提供品牌</x:v>
      </x:c>
      <x:c r="F226" s="9" t="str">
        <x:v>长裤</x:v>
      </x:c>
      <x:c r="G226" s="9" t="str">
        <x:v>训练／运动长裤</x:v>
      </x:c>
      <x:c r="H226" s="24" t="n">
        <x:v>1149</x:v>
      </x:c>
      <x:c r="I226" s="25" t="e">
        <x:f>HYPERLINK("https://item.taobao.com/item.htm?id=1030678900984","打开商品")</x:f>
        <x:v>HYPERLINK is not implemented. linkLocation=https://item.taobao.com/item.htm?id=1030678900984, friendlyName=打开商品</x:v>
      </x:c>
      <x:c r="J226" s="25" t="e">
        <x:f>HYPERLINK("https://data.zhiyitech.cn/itemDetail/overview/base?itemId=1030678900984","打开知衣")</x:f>
        <x:v>HYPERLINK is not implemented. linkLocation=https://data.zhiyitech.cn/itemDetail/overview/base?itemId=1030678900984, friendlyName=打开知衣</x:v>
      </x:c>
      <x:c r="K226" s="25" t="e">
        <x:f>HYPERLINK("https://img.alicdn.com/bao/uploaded/i3/2923146621/O1CN01SkVhBd1ymTThuMPqo_!!2923146621.jpg","查看主图")</x:f>
        <x:v>HYPERLINK is not implemented. linkLocation=https://img.alicdn.com/bao/uploaded/i3/2923146621/O1CN01SkVhBd1ymTThuMPqo_!!2923146621.jpg, friendlyName=查看主图</x:v>
      </x:c>
      <x:c r="L226" s="9" t="str">
        <x:v>无明确性别信息</x:v>
      </x:c>
      <x:c r="M226" s="9" t="str">
        <x:v>运动下装</x:v>
      </x:c>
      <x:c r="N226" s="9" t="str">
        <x:v>排行榜_商品榜_销售额榜_热销_运动服_休闲服装-运休闲服装-跑步短裤_2025-11-01_2026-10-31 (9).xlsx</x:v>
      </x:c>
      <x:c r="O226" s="9" t="str">
        <x:v>默认</x:v>
      </x:c>
      <x:c r="P226" s="9" t="n">
        <x:v>370</x:v>
      </x:c>
      <x:c r="Q226" s="9" t="str">
        <x:v>bf4c13b761e645dc5b709fecfe2eba562c597469bada8d60d13514dd26d590ba</x:v>
      </x:c>
      <x:c r="R226" s="9" t="str">
        <x:v>MIX_SPORT_AVGPAID_1100_1200_ANNUAL2026</x:v>
      </x:c>
      <x:c r="S226" s="9" t="str">
        <x:v>排行榜_商品榜_销售额榜_热销_运动服_休闲服装-运休闲服装-跑步短裤_2025-11-01_2026-10-31 (9).xlsx / 默认 / 第370行 / SHA256 bf4c13b761e645dc5b709fecfe2eba562c597469bada8d60d13514dd26d590ba</x:v>
      </x:c>
    </x:row>
    <x:row r="227" ht="58" customHeight="1">
      <x:c r="A227" s="23" t="str">
        <x:v>1034277750869</x:v>
      </x:c>
      <x:c r="B227" s="22"/>
      <x:c r="C227" s="22"/>
      <x:c r="D227" s="9" t="str">
        <x:v>现货授权ANCELLM #6 DENIM WIDE SLACKS B复古水洗宽松牛仔裤26SS</x:v>
      </x:c>
      <x:c r="E227" s="9" t="str">
        <x:v>未提供品牌</x:v>
      </x:c>
      <x:c r="F227" s="9" t="str">
        <x:v>长裤</x:v>
      </x:c>
      <x:c r="G227" s="9" t="str">
        <x:v>训练／运动长裤</x:v>
      </x:c>
      <x:c r="H227" s="24" t="n">
        <x:v>1850.2</x:v>
      </x:c>
      <x:c r="I227" s="25" t="e">
        <x:f>HYPERLINK("https://item.taobao.com/item.htm?id=1034277750869","打开商品")</x:f>
        <x:v>HYPERLINK is not implemented. linkLocation=https://item.taobao.com/item.htm?id=1034277750869, friendlyName=打开商品</x:v>
      </x:c>
      <x:c r="J227" s="25" t="e">
        <x:f>HYPERLINK("https://data.zhiyitech.cn/itemDetail/overview/base?itemId=1034277750869","打开知衣")</x:f>
        <x:v>HYPERLINK is not implemented. linkLocation=https://data.zhiyitech.cn/itemDetail/overview/base?itemId=1034277750869, friendlyName=打开知衣</x:v>
      </x:c>
      <x:c r="K227" s="25" t="e">
        <x:f>HYPERLINK("https://img.alicdn.com/bao/uploaded/i3/2923146621/O1CN01Re2cFa1ymTTsSzIGl_!!2923146621.jpg","查看主图")</x:f>
        <x:v>HYPERLINK is not implemented. linkLocation=https://img.alicdn.com/bao/uploaded/i3/2923146621/O1CN01Re2cFa1ymTTsSzIGl_!!2923146621.jpg, friendlyName=查看主图</x:v>
      </x:c>
      <x:c r="L227" s="9" t="str">
        <x:v>无明确性别信息</x:v>
      </x:c>
      <x:c r="M227" s="9" t="str">
        <x:v>运动下装</x:v>
      </x:c>
      <x:c r="N227" s="9" t="str">
        <x:v>排行榜_商品榜_销售额榜_热销_运动服_休闲服装-运休闲服装-跑步短裤_2025-11-01_2026-10-31 (2).xlsx</x:v>
      </x:c>
      <x:c r="O227" s="9" t="str">
        <x:v>默认</x:v>
      </x:c>
      <x:c r="P227" s="9" t="n">
        <x:v>41</x:v>
      </x:c>
      <x:c r="Q227" s="9" t="str">
        <x:v>d4303838acbe96e5d87b9779c87272c941a19ebdcbae2ed4b34c418160904013</x:v>
      </x:c>
      <x:c r="R227" s="9" t="str">
        <x:v>MIX_SPORT_AVGPAID_1800_1900_ANNUAL2026</x:v>
      </x:c>
      <x:c r="S227" s="9" t="str">
        <x:v>排行榜_商品榜_销售额榜_热销_运动服_休闲服装-运休闲服装-跑步短裤_2025-11-01_2026-10-31 (2).xlsx / 默认 / 第41行 / SHA256 d4303838acbe96e5d87b9779c87272c941a19ebdcbae2ed4b34c418160904013</x:v>
      </x:c>
    </x:row>
    <x:row r="228" ht="58" customHeight="1">
      <x:c r="A228" s="23" t="str">
        <x:v>1034799146549</x:v>
      </x:c>
      <x:c r="B228" s="22"/>
      <x:c r="C228" s="22"/>
      <x:c r="D228" s="9" t="str">
        <x:v>现货授权961 Apparel Tuff-Light Cargo Pants 复古工装裤26SS</x:v>
      </x:c>
      <x:c r="E228" s="9" t="str">
        <x:v>未提供品牌</x:v>
      </x:c>
      <x:c r="F228" s="9" t="str">
        <x:v>长裤</x:v>
      </x:c>
      <x:c r="G228" s="9" t="str">
        <x:v>训练／运动长裤</x:v>
      </x:c>
      <x:c r="H228" s="24" t="n">
        <x:v>1356</x:v>
      </x:c>
      <x:c r="I228" s="25" t="e">
        <x:f>HYPERLINK("https://item.taobao.com/item.htm?id=1034799146549","打开商品")</x:f>
        <x:v>HYPERLINK is not implemented. linkLocation=https://item.taobao.com/item.htm?id=1034799146549, friendlyName=打开商品</x:v>
      </x:c>
      <x:c r="J228" s="25" t="e">
        <x:f>HYPERLINK("https://data.zhiyitech.cn/itemDetail/overview/base?itemId=1034799146549","打开知衣")</x:f>
        <x:v>HYPERLINK is not implemented. linkLocation=https://data.zhiyitech.cn/itemDetail/overview/base?itemId=1034799146549, friendlyName=打开知衣</x:v>
      </x:c>
      <x:c r="K228" s="25" t="e">
        <x:f>HYPERLINK("https://img.alicdn.com/bao/uploaded/i2/2923146621/O1CN01ZUQJUO1ymTTtD1kOn_!!2923146621.jpg","查看主图")</x:f>
        <x:v>HYPERLINK is not implemented. linkLocation=https://img.alicdn.com/bao/uploaded/i2/2923146621/O1CN01ZUQJUO1ymTTtD1kOn_!!2923146621.jpg, friendlyName=查看主图</x:v>
      </x:c>
      <x:c r="L228" s="9" t="str">
        <x:v>无明确性别信息</x:v>
      </x:c>
      <x:c r="M228" s="9" t="str">
        <x:v>运动下装</x:v>
      </x:c>
      <x:c r="N228" s="9" t="str">
        <x:v>排行榜_商品榜_销售额榜_热销_运动服_休闲服装-运休闲服装-跑步短裤_2025-11-01_2026-10-31 (7).xlsx</x:v>
      </x:c>
      <x:c r="O228" s="9" t="str">
        <x:v>默认</x:v>
      </x:c>
      <x:c r="P228" s="9" t="n">
        <x:v>151</x:v>
      </x:c>
      <x:c r="Q228" s="9" t="str">
        <x:v>b4959cd74b14f4314b9473c91799b973e0b2ff209bedfdac04b6266e6a5d9ce9</x:v>
      </x:c>
      <x:c r="R228" s="9" t="str">
        <x:v>MIX_SPORT_AVGPAID_1300_1400_ANNUAL2026</x:v>
      </x:c>
      <x:c r="S228" s="9" t="str">
        <x:v>排行榜_商品榜_销售额榜_热销_运动服_休闲服装-运休闲服装-跑步短裤_2025-11-01_2026-10-31 (7).xlsx / 默认 / 第151行 / SHA256 b4959cd74b14f4314b9473c91799b973e0b2ff209bedfdac04b6266e6a5d9ce9</x:v>
      </x:c>
    </x:row>
    <x:row r="229" ht="58" customHeight="1">
      <x:c r="A229" s="23" t="str">
        <x:v>1035188149150</x:v>
      </x:c>
      <x:c r="B229" s="22"/>
      <x:c r="C229" s="22"/>
      <x:c r="D229" s="9" t="str">
        <x:v>ANCELLM PANTS 复古锥形牛仔裤</x:v>
      </x:c>
      <x:c r="E229" s="9" t="str">
        <x:v>未提供品牌</x:v>
      </x:c>
      <x:c r="F229" s="9" t="str">
        <x:v>长裤</x:v>
      </x:c>
      <x:c r="G229" s="9" t="str">
        <x:v>训练／运动长裤</x:v>
      </x:c>
      <x:c r="H229" s="24" t="n">
        <x:v>1850.2</x:v>
      </x:c>
      <x:c r="I229" s="25" t="e">
        <x:f>HYPERLINK("https://item.taobao.com/item.htm?id=1035188149150","打开商品")</x:f>
        <x:v>HYPERLINK is not implemented. linkLocation=https://item.taobao.com/item.htm?id=1035188149150, friendlyName=打开商品</x:v>
      </x:c>
      <x:c r="J229" s="25" t="e">
        <x:f>HYPERLINK("https://data.zhiyitech.cn/itemDetail/overview/base?itemId=1035188149150","打开知衣")</x:f>
        <x:v>HYPERLINK is not implemented. linkLocation=https://data.zhiyitech.cn/itemDetail/overview/base?itemId=1035188149150, friendlyName=打开知衣</x:v>
      </x:c>
      <x:c r="K229" s="25" t="e">
        <x:f>HYPERLINK("https://img.alicdn.com/bao/uploaded/i4/2923146621/O1CN01nriPaB1ymTVEkSByV_!!2923146621.jpg","查看主图")</x:f>
        <x:v>HYPERLINK is not implemented. linkLocation=https://img.alicdn.com/bao/uploaded/i4/2923146621/O1CN01nriPaB1ymTVEkSByV_!!2923146621.jpg, friendlyName=查看主图</x:v>
      </x:c>
      <x:c r="L229" s="9" t="str">
        <x:v>无明确性别信息</x:v>
      </x:c>
      <x:c r="M229" s="9" t="str">
        <x:v>运动下装</x:v>
      </x:c>
      <x:c r="N229" s="9" t="str">
        <x:v>排行榜_商品榜_销售额榜_热销_运动服_休闲服装-运休闲服装-跑步短裤_2025-11-01_2026-10-31 (2).xlsx</x:v>
      </x:c>
      <x:c r="O229" s="9" t="str">
        <x:v>默认</x:v>
      </x:c>
      <x:c r="P229" s="9" t="n">
        <x:v>40</x:v>
      </x:c>
      <x:c r="Q229" s="9" t="str">
        <x:v>d4303838acbe96e5d87b9779c87272c941a19ebdcbae2ed4b34c418160904013</x:v>
      </x:c>
      <x:c r="R229" s="9" t="str">
        <x:v>MIX_SPORT_AVGPAID_1800_1900_ANNUAL2026</x:v>
      </x:c>
      <x:c r="S229" s="9" t="str">
        <x:v>排行榜_商品榜_销售额榜_热销_运动服_休闲服装-运休闲服装-跑步短裤_2025-11-01_2026-10-31 (2).xlsx / 默认 / 第40行 / SHA256 d4303838acbe96e5d87b9779c87272c941a19ebdcbae2ed4b34c418160904013</x:v>
      </x:c>
    </x:row>
    <x:row r="230" ht="58" customHeight="1">
      <x:c r="A230" s="23" t="str">
        <x:v>1037606852320</x:v>
      </x:c>
      <x:c r="B230" s="22"/>
      <x:c r="C230" s="22"/>
      <x:c r="D230" s="9" t="str">
        <x:v>现货授权BOWWOW 41 KHAKI TROUSERS AGED 直筒休闲水洗工装裤26SS</x:v>
      </x:c>
      <x:c r="E230" s="9" t="str">
        <x:v>未提供品牌</x:v>
      </x:c>
      <x:c r="F230" s="9" t="str">
        <x:v>长裤</x:v>
      </x:c>
      <x:c r="G230" s="9" t="str">
        <x:v>训练／运动长裤</x:v>
      </x:c>
      <x:c r="H230" s="24" t="n">
        <x:v>1799</x:v>
      </x:c>
      <x:c r="I230" s="25" t="e">
        <x:f>HYPERLINK("https://item.taobao.com/item.htm?id=1037606852320","打开商品")</x:f>
        <x:v>HYPERLINK is not implemented. linkLocation=https://item.taobao.com/item.htm?id=1037606852320, friendlyName=打开商品</x:v>
      </x:c>
      <x:c r="J230" s="25" t="e">
        <x:f>HYPERLINK("https://data.zhiyitech.cn/itemDetail/overview/base?itemId=1037606852320","打开知衣")</x:f>
        <x:v>HYPERLINK is not implemented. linkLocation=https://data.zhiyitech.cn/itemDetail/overview/base?itemId=1037606852320, friendlyName=打开知衣</x:v>
      </x:c>
      <x:c r="K230" s="25" t="e">
        <x:f>HYPERLINK("https://img.alicdn.com/bao/uploaded/i3/2923146621/O1CN011sAwKV1ymTTtVRX9v~crop,180,0,1080,1440~_!!2923146621.png","查看主图")</x:f>
        <x:v>HYPERLINK is not implemented. linkLocation=https://img.alicdn.com/bao/uploaded/i3/2923146621/O1CN011sAwKV1ymTTtVRX9v~crop,180,0,1080,1440~_!!2923146621.png, friendlyName=查看主图</x:v>
      </x:c>
      <x:c r="L230" s="9" t="str">
        <x:v>无明确性别信息</x:v>
      </x:c>
      <x:c r="M230" s="9" t="str">
        <x:v>运动下装</x:v>
      </x:c>
      <x:c r="N230" s="9" t="str">
        <x:v>排行榜_商品榜_销售额榜_热销_运动服_休闲服装-运休闲服装-跑步短裤_2025-11-01_2026-10-31 (3).xlsx</x:v>
      </x:c>
      <x:c r="O230" s="9" t="str">
        <x:v>默认</x:v>
      </x:c>
      <x:c r="P230" s="9" t="n">
        <x:v>53</x:v>
      </x:c>
      <x:c r="Q230" s="9" t="str">
        <x:v>75c32f8ec048c7ff6d1862fee5bc8a3793f270522255a1b54f34ebdea84168ec</x:v>
      </x:c>
      <x:c r="R230" s="9" t="str">
        <x:v>MIX_SPORT_AVGPAID_1700_1800_ANNUAL2026</x:v>
      </x:c>
      <x:c r="S230" s="9" t="str">
        <x:v>排行榜_商品榜_销售额榜_热销_运动服_休闲服装-运休闲服装-跑步短裤_2025-11-01_2026-10-31 (3).xlsx / 默认 / 第53行 / SHA256 75c32f8ec048c7ff6d1862fee5bc8a3793f270522255a1b54f34ebdea84168ec</x:v>
      </x:c>
    </x:row>
    <x:row r="231" ht="58" customHeight="1">
      <x:c r="A231" s="23" t="str">
        <x:v>1038040128502</x:v>
      </x:c>
      <x:c r="B231" s="22"/>
      <x:c r="C231" s="22"/>
      <x:c r="D231" s="9" t="str">
        <x:v>现货授权BOWWOW BLACK WORK TROUSERS AGED 复古水洗工装裤26SS</x:v>
      </x:c>
      <x:c r="E231" s="9" t="str">
        <x:v>未提供品牌</x:v>
      </x:c>
      <x:c r="F231" s="9" t="str">
        <x:v>长裤</x:v>
      </x:c>
      <x:c r="G231" s="9" t="str">
        <x:v>训练／运动长裤</x:v>
      </x:c>
      <x:c r="H231" s="24" t="n">
        <x:v>1799</x:v>
      </x:c>
      <x:c r="I231" s="25" t="e">
        <x:f>HYPERLINK("https://item.taobao.com/item.htm?id=1038040128502","打开商品")</x:f>
        <x:v>HYPERLINK is not implemented. linkLocation=https://item.taobao.com/item.htm?id=1038040128502, friendlyName=打开商品</x:v>
      </x:c>
      <x:c r="J231" s="25" t="e">
        <x:f>HYPERLINK("https://data.zhiyitech.cn/itemDetail/overview/base?itemId=1038040128502","打开知衣")</x:f>
        <x:v>HYPERLINK is not implemented. linkLocation=https://data.zhiyitech.cn/itemDetail/overview/base?itemId=1038040128502, friendlyName=打开知衣</x:v>
      </x:c>
      <x:c r="K231" s="25" t="e">
        <x:f>HYPERLINK("https://img.alicdn.com/bao/uploaded/i4/2923146621/O1CN01M6IVeC1ymTTuVK9b8_!!2923146621.png","查看主图")</x:f>
        <x:v>HYPERLINK is not implemented. linkLocation=https://img.alicdn.com/bao/uploaded/i4/2923146621/O1CN01M6IVeC1ymTTuVK9b8_!!2923146621.png, friendlyName=查看主图</x:v>
      </x:c>
      <x:c r="L231" s="9" t="str">
        <x:v>无明确性别信息</x:v>
      </x:c>
      <x:c r="M231" s="9" t="str">
        <x:v>运动下装</x:v>
      </x:c>
      <x:c r="N231" s="9" t="str">
        <x:v>排行榜_商品榜_销售额榜_热销_运动服_休闲服装-运休闲服装-跑步短裤_2025-11-01_2026-10-31 (3).xlsx</x:v>
      </x:c>
      <x:c r="O231" s="9" t="str">
        <x:v>默认</x:v>
      </x:c>
      <x:c r="P231" s="9" t="n">
        <x:v>60</x:v>
      </x:c>
      <x:c r="Q231" s="9" t="str">
        <x:v>75c32f8ec048c7ff6d1862fee5bc8a3793f270522255a1b54f34ebdea84168ec</x:v>
      </x:c>
      <x:c r="R231" s="9" t="str">
        <x:v>MIX_SPORT_AVGPAID_1700_1800_ANNUAL2026</x:v>
      </x:c>
      <x:c r="S231" s="9" t="str">
        <x:v>排行榜_商品榜_销售额榜_热销_运动服_休闲服装-运休闲服装-跑步短裤_2025-11-01_2026-10-31 (3).xlsx / 默认 / 第60行 / SHA256 75c32f8ec048c7ff6d1862fee5bc8a3793f270522255a1b54f34ebdea84168ec</x:v>
      </x:c>
    </x:row>
    <x:row r="232" ht="58" customHeight="1">
      <x:c r="A232" s="23" t="str">
        <x:v>1039513243154</x:v>
      </x:c>
      <x:c r="B232" s="22"/>
      <x:c r="C232" s="22"/>
      <x:c r="D232" s="9" t="str">
        <x:v>is-ness复古宽松6口袋长裤</x:v>
      </x:c>
      <x:c r="E232" s="9" t="str">
        <x:v>未提供品牌</x:v>
      </x:c>
      <x:c r="F232" s="9" t="str">
        <x:v>长裤</x:v>
      </x:c>
      <x:c r="G232" s="9" t="str">
        <x:v>训练／运动长裤</x:v>
      </x:c>
      <x:c r="H232" s="24" t="n">
        <x:v>1841.29</x:v>
      </x:c>
      <x:c r="I232" s="25" t="e">
        <x:f>HYPERLINK("https://item.taobao.com/item.htm?id=1039513243154","打开商品")</x:f>
        <x:v>HYPERLINK is not implemented. linkLocation=https://item.taobao.com/item.htm?id=1039513243154, friendlyName=打开商品</x:v>
      </x:c>
      <x:c r="J232" s="25" t="e">
        <x:f>HYPERLINK("https://data.zhiyitech.cn/itemDetail/overview/base?itemId=1039513243154","打开知衣")</x:f>
        <x:v>HYPERLINK is not implemented. linkLocation=https://data.zhiyitech.cn/itemDetail/overview/base?itemId=1039513243154, friendlyName=打开知衣</x:v>
      </x:c>
      <x:c r="K232" s="25" t="e">
        <x:f>HYPERLINK("https://img.alicdn.com/bao/uploaded/i3/2923146621/O1CN016mIkZo1ymTU6Lg96Z_!!2923146621.png","查看主图")</x:f>
        <x:v>HYPERLINK is not implemented. linkLocation=https://img.alicdn.com/bao/uploaded/i3/2923146621/O1CN016mIkZo1ymTU6Lg96Z_!!2923146621.png, friendlyName=查看主图</x:v>
      </x:c>
      <x:c r="L232" s="9" t="str">
        <x:v>无明确性别信息</x:v>
      </x:c>
      <x:c r="M232" s="9" t="str">
        <x:v>运动下装</x:v>
      </x:c>
      <x:c r="N232" s="9" t="str">
        <x:v>排行榜_商品榜_销售额榜_热销_运动服_休闲服装-运休闲服装-跑步短裤_2025-11-01_2026-10-31 (2).xlsx</x:v>
      </x:c>
      <x:c r="O232" s="9" t="str">
        <x:v>默认</x:v>
      </x:c>
      <x:c r="P232" s="9" t="n">
        <x:v>21</x:v>
      </x:c>
      <x:c r="Q232" s="9" t="str">
        <x:v>d4303838acbe96e5d87b9779c87272c941a19ebdcbae2ed4b34c418160904013</x:v>
      </x:c>
      <x:c r="R232" s="9" t="str">
        <x:v>MIX_SPORT_AVGPAID_1800_1900_ANNUAL2026</x:v>
      </x:c>
      <x:c r="S232" s="9" t="str">
        <x:v>排行榜_商品榜_销售额榜_热销_运动服_休闲服装-运休闲服装-跑步短裤_2025-11-01_2026-10-31 (2).xlsx / 默认 / 第21行 / SHA256 d4303838acbe96e5d87b9779c87272c941a19ebdcbae2ed4b34c418160904013</x:v>
      </x:c>
    </x:row>
    <x:row r="233" ht="58" customHeight="1">
      <x:c r="A233" s="23" t="str">
        <x:v>1040534475002</x:v>
      </x:c>
      <x:c r="B233" s="22"/>
      <x:c r="C233" s="22"/>
      <x:c r="D233" s="9" t="str">
        <x:v>现货授权ORSLOW SUPER DADS DENIM PANTS 复古水洗宽松牛仔裤26SS</x:v>
      </x:c>
      <x:c r="E233" s="9" t="str">
        <x:v>未提供品牌</x:v>
      </x:c>
      <x:c r="F233" s="9" t="str">
        <x:v>长裤</x:v>
      </x:c>
      <x:c r="G233" s="9" t="str">
        <x:v>训练／运动长裤</x:v>
      </x:c>
      <x:c r="H233" s="24" t="n">
        <x:v>1599</x:v>
      </x:c>
      <x:c r="I233" s="25" t="e">
        <x:f>HYPERLINK("https://item.taobao.com/item.htm?id=1040534475002","打开商品")</x:f>
        <x:v>HYPERLINK is not implemented. linkLocation=https://item.taobao.com/item.htm?id=1040534475002, friendlyName=打开商品</x:v>
      </x:c>
      <x:c r="J233" s="25" t="e">
        <x:f>HYPERLINK("https://data.zhiyitech.cn/itemDetail/overview/base?itemId=1040534475002","打开知衣")</x:f>
        <x:v>HYPERLINK is not implemented. linkLocation=https://data.zhiyitech.cn/itemDetail/overview/base?itemId=1040534475002, friendlyName=打开知衣</x:v>
      </x:c>
      <x:c r="K233" s="25" t="e">
        <x:f>HYPERLINK("https://img.alicdn.com/bao/uploaded/i4/2923146621/O1CN01wIzxYV1ymTU64U2Sq_!!2923146621.png","查看主图")</x:f>
        <x:v>HYPERLINK is not implemented. linkLocation=https://img.alicdn.com/bao/uploaded/i4/2923146621/O1CN01wIzxYV1ymTU64U2Sq_!!2923146621.png, friendlyName=查看主图</x:v>
      </x:c>
      <x:c r="L233" s="9" t="str">
        <x:v>无明确性别信息</x:v>
      </x:c>
      <x:c r="M233" s="9" t="str">
        <x:v>运动下装</x:v>
      </x:c>
      <x:c r="N233" s="9" t="str">
        <x:v>排行榜_商品榜_销售额榜_热销_运动服_休闲服装-运休闲服装-跑步短裤_2025-11-01_2026-10-31 (5).xlsx</x:v>
      </x:c>
      <x:c r="O233" s="9" t="str">
        <x:v>默认</x:v>
      </x:c>
      <x:c r="P233" s="9" t="n">
        <x:v>136</x:v>
      </x:c>
      <x:c r="Q233" s="9" t="str">
        <x:v>9ad7424665e3f8b592ed8cec3e99707eea5b9bd2316d324ab5977c56b4039ec9</x:v>
      </x:c>
      <x:c r="R233" s="9" t="str">
        <x:v>MIX_SPORT_AVGPAID_1500_1600_ANNUAL2026</x:v>
      </x:c>
      <x:c r="S233" s="9" t="str">
        <x:v>排行榜_商品榜_销售额榜_热销_运动服_休闲服装-运休闲服装-跑步短裤_2025-11-01_2026-10-31 (5).xlsx / 默认 / 第136行 / SHA256 9ad7424665e3f8b592ed8cec3e99707eea5b9bd2316d324ab5977c56b4039ec9</x:v>
      </x:c>
    </x:row>
    <x:row r="234" ht="58" customHeight="1">
      <x:c r="A234" s="23" t="str">
        <x:v>1050031112935</x:v>
      </x:c>
      <x:c r="B234" s="22"/>
      <x:c r="C234" s="22"/>
      <x:c r="D234" s="9" t="str">
        <x:v>IENA日本代购~日本制 浅色高腰牛仔裤</x:v>
      </x:c>
      <x:c r="E234" s="9" t="str">
        <x:v>未提供品牌</x:v>
      </x:c>
      <x:c r="F234" s="9" t="str">
        <x:v>长裤</x:v>
      </x:c>
      <x:c r="G234" s="9" t="str">
        <x:v>训练／运动长裤</x:v>
      </x:c>
      <x:c r="H234" s="24" t="n">
        <x:v>1164</x:v>
      </x:c>
      <x:c r="I234" s="25" t="e">
        <x:f>HYPERLINK("https://item.taobao.com/item.htm?id=1050031112935","打开商品")</x:f>
        <x:v>HYPERLINK is not implemented. linkLocation=https://item.taobao.com/item.htm?id=1050031112935, friendlyName=打开商品</x:v>
      </x:c>
      <x:c r="J234" s="25" t="e">
        <x:f>HYPERLINK("https://data.zhiyitech.cn/itemDetail/overview/base?itemId=1050031112935","打开知衣")</x:f>
        <x:v>HYPERLINK is not implemented. linkLocation=https://data.zhiyitech.cn/itemDetail/overview/base?itemId=1050031112935, friendlyName=打开知衣</x:v>
      </x:c>
      <x:c r="K234" s="25" t="e">
        <x:f>HYPERLINK("https://img.alicdn.com/bao/uploaded/i4/845925391/O1CN01GPRYx71ph8KNLr1NA_!!845925391.jpg","查看主图")</x:f>
        <x:v>HYPERLINK is not implemented. linkLocation=https://img.alicdn.com/bao/uploaded/i4/845925391/O1CN01GPRYx71ph8KNLr1NA_!!845925391.jpg, friendlyName=查看主图</x:v>
      </x:c>
      <x:c r="L234" s="9" t="str">
        <x:v>无明确性别信息</x:v>
      </x:c>
      <x:c r="M234" s="9" t="str">
        <x:v>运动下装</x:v>
      </x:c>
      <x:c r="N234" s="9" t="str">
        <x:v>排行榜_商品榜_销售额榜_热销_运动服_休闲服装-运休闲服装-跑步短裤_2025-11-01_2026-10-31 (9).xlsx</x:v>
      </x:c>
      <x:c r="O234" s="9" t="str">
        <x:v>默认</x:v>
      </x:c>
      <x:c r="P234" s="9" t="n">
        <x:v>422</x:v>
      </x:c>
      <x:c r="Q234" s="9" t="str">
        <x:v>bf4c13b761e645dc5b709fecfe2eba562c597469bada8d60d13514dd26d590ba</x:v>
      </x:c>
      <x:c r="R234" s="9" t="str">
        <x:v>MIX_SPORT_AVGPAID_1100_1200_ANNUAL2026</x:v>
      </x:c>
      <x:c r="S234" s="9" t="str">
        <x:v>排行榜_商品榜_销售额榜_热销_运动服_休闲服装-运休闲服装-跑步短裤_2025-11-01_2026-10-31 (9).xlsx / 默认 / 第422行 / SHA256 bf4c13b761e645dc5b709fecfe2eba562c597469bada8d60d13514dd26d590ba</x:v>
      </x:c>
    </x:row>
    <x:row r="235" ht="58" customHeight="1">
      <x:c r="A235" s="23" t="str">
        <x:v>1073689597338</x:v>
      </x:c>
      <x:c r="B235" s="22"/>
      <x:c r="C235" s="22"/>
      <x:c r="D235" s="9" t="str">
        <x:v>shinzone日本代购~日本制 直筒高腰工装长裤</x:v>
      </x:c>
      <x:c r="E235" s="9" t="str">
        <x:v>未提供品牌</x:v>
      </x:c>
      <x:c r="F235" s="9" t="str">
        <x:v>长裤</x:v>
      </x:c>
      <x:c r="G235" s="9" t="str">
        <x:v>训练／运动长裤</x:v>
      </x:c>
      <x:c r="H235" s="24" t="n">
        <x:v>1467</x:v>
      </x:c>
      <x:c r="I235" s="25" t="e">
        <x:f>HYPERLINK("https://item.taobao.com/item.htm?id=1073689597338","打开商品")</x:f>
        <x:v>HYPERLINK is not implemented. linkLocation=https://item.taobao.com/item.htm?id=1073689597338, friendlyName=打开商品</x:v>
      </x:c>
      <x:c r="J235" s="25" t="e">
        <x:f>HYPERLINK("https://data.zhiyitech.cn/itemDetail/overview/base?itemId=1073689597338","打开知衣")</x:f>
        <x:v>HYPERLINK is not implemented. linkLocation=https://data.zhiyitech.cn/itemDetail/overview/base?itemId=1073689597338, friendlyName=打开知衣</x:v>
      </x:c>
      <x:c r="K235" s="25" t="e">
        <x:f>HYPERLINK("https://img.alicdn.com/imgextra/i4/845925391/O1CN01TEJzrgyKOVI21stE_!!845925391.jpg","查看主图")</x:f>
        <x:v>HYPERLINK is not implemented. linkLocation=https://img.alicdn.com/imgextra/i4/845925391/O1CN01TEJzrgyKOVI21stE_!!845925391.jpg, friendlyName=查看主图</x:v>
      </x:c>
      <x:c r="L235" s="9" t="str">
        <x:v>无明确性别信息</x:v>
      </x:c>
      <x:c r="M235" s="9" t="str">
        <x:v>运动下装</x:v>
      </x:c>
      <x:c r="N235" s="9" t="str">
        <x:v>排行榜_商品榜_销售额榜_热销_运动服_休闲服装-运休闲服装-跑步短裤_2025-11-01_2026-10-31 (6).xlsx</x:v>
      </x:c>
      <x:c r="O235" s="9" t="str">
        <x:v>默认</x:v>
      </x:c>
      <x:c r="P235" s="9" t="n">
        <x:v>112</x:v>
      </x:c>
      <x:c r="Q235" s="9" t="str">
        <x:v>51c5baf852346f6326f6a242f8205ac9db74e4145a36be5e01e3352750e8cecc</x:v>
      </x:c>
      <x:c r="R235" s="9" t="str">
        <x:v>MIX_SPORT_AVGPAID_1400_1500_ANNUAL2026</x:v>
      </x:c>
      <x:c r="S235" s="9" t="str">
        <x:v>排行榜_商品榜_销售额榜_热销_运动服_休闲服装-运休闲服装-跑步短裤_2025-11-01_2026-10-31 (6).xlsx / 默认 / 第112行 / SHA256 51c5baf852346f6326f6a242f8205ac9db74e4145a36be5e01e3352750e8cecc</x:v>
      </x:c>
    </x:row>
    <x:row r="236" ht="58" customHeight="1">
      <x:c r="A236" s="23" t="str">
        <x:v>1078657662689</x:v>
      </x:c>
      <x:c r="B236" s="22"/>
      <x:c r="C236" s="22"/>
      <x:c r="D236" s="9" t="str">
        <x:v>OMMO日本代购~小直筒对褶长裤 10月上</x:v>
      </x:c>
      <x:c r="E236" s="9" t="str">
        <x:v>未提供品牌</x:v>
      </x:c>
      <x:c r="F236" s="9" t="str">
        <x:v>长裤</x:v>
      </x:c>
      <x:c r="G236" s="9" t="str">
        <x:v>训练／运动长裤</x:v>
      </x:c>
      <x:c r="H236" s="24" t="n">
        <x:v>1487</x:v>
      </x:c>
      <x:c r="I236" s="25" t="e">
        <x:f>HYPERLINK("https://item.taobao.com/item.htm?id=1078657662689","打开商品")</x:f>
        <x:v>HYPERLINK is not implemented. linkLocation=https://item.taobao.com/item.htm?id=1078657662689, friendlyName=打开商品</x:v>
      </x:c>
      <x:c r="J236" s="25" t="e">
        <x:f>HYPERLINK("https://data.zhiyitech.cn/itemDetail/overview/base?itemId=1078657662689","打开知衣")</x:f>
        <x:v>HYPERLINK is not implemented. linkLocation=https://data.zhiyitech.cn/itemDetail/overview/base?itemId=1078657662689, friendlyName=打开知衣</x:v>
      </x:c>
      <x:c r="K236" s="25" t="e">
        <x:f>HYPERLINK("https://img.alicdn.com/imgextra/i4/845925391/O1CN012kScph9SkYB21stE_!!845925391.jpg","查看主图")</x:f>
        <x:v>HYPERLINK is not implemented. linkLocation=https://img.alicdn.com/imgextra/i4/845925391/O1CN012kScph9SkYB21stE_!!845925391.jpg, friendlyName=查看主图</x:v>
      </x:c>
      <x:c r="L236" s="9" t="str">
        <x:v>无明确性别信息</x:v>
      </x:c>
      <x:c r="M236" s="9" t="str">
        <x:v>运动下装</x:v>
      </x:c>
      <x:c r="N236" s="9" t="str">
        <x:v>排行榜_商品榜_销售额榜_热销_运动服_休闲服装-运休闲服装-跑步短裤_2025-11-01_2026-10-31 (6).xlsx</x:v>
      </x:c>
      <x:c r="O236" s="9" t="str">
        <x:v>默认</x:v>
      </x:c>
      <x:c r="P236" s="9" t="n">
        <x:v>109</x:v>
      </x:c>
      <x:c r="Q236" s="9" t="str">
        <x:v>51c5baf852346f6326f6a242f8205ac9db74e4145a36be5e01e3352750e8cecc</x:v>
      </x:c>
      <x:c r="R236" s="9" t="str">
        <x:v>MIX_SPORT_AVGPAID_1400_1500_ANNUAL2026</x:v>
      </x:c>
      <x:c r="S236" s="9" t="str">
        <x:v>排行榜_商品榜_销售额榜_热销_运动服_休闲服装-运休闲服装-跑步短裤_2025-11-01_2026-10-31 (6).xlsx / 默认 / 第109行 / SHA256 51c5baf852346f6326f6a242f8205ac9db74e4145a36be5e01e3352750e8cecc</x:v>
      </x:c>
    </x:row>
    <x:row r="237" ht="58" customHeight="1">
      <x:c r="A237" s="23" t="str">
        <x:v>1087640807808</x:v>
      </x:c>
      <x:c r="B237" s="22"/>
      <x:c r="C237" s="22"/>
      <x:c r="D237" s="9" t="str">
        <x:v>SENSEUP26秋韩国正品BUDHI MUDRA设计师品牌弧形剪裁瑜珈裤</x:v>
      </x:c>
      <x:c r="E237" s="9" t="str">
        <x:v>未提供品牌</x:v>
      </x:c>
      <x:c r="F237" s="9" t="str">
        <x:v>长裤</x:v>
      </x:c>
      <x:c r="G237" s="9" t="str">
        <x:v>瑜伽长裤</x:v>
      </x:c>
      <x:c r="H237" s="24" t="n">
        <x:v>954.1</x:v>
      </x:c>
      <x:c r="I237" s="25" t="e">
        <x:f>HYPERLINK("https://item.taobao.com/item.htm?id=1087640807808","打开商品")</x:f>
        <x:v>HYPERLINK is not implemented. linkLocation=https://item.taobao.com/item.htm?id=1087640807808, friendlyName=打开商品</x:v>
      </x:c>
      <x:c r="J237" s="25" t="e">
        <x:f>HYPERLINK("https://data.zhiyitech.cn/itemDetail/overview/base?itemId=1087640807808","打开知衣")</x:f>
        <x:v>HYPERLINK is not implemented. linkLocation=https://data.zhiyitech.cn/itemDetail/overview/base?itemId=1087640807808, friendlyName=打开知衣</x:v>
      </x:c>
      <x:c r="K237" s="25" t="e">
        <x:f>HYPERLINK("https://img.alicdn.com/imgextra/i3/2838504872/O1CN01Y200QqMdDYG2BxLq~crop,0,217,1080,1080~_!!2838504872.jpg","查看主图")</x:f>
        <x:v>HYPERLINK is not implemented. linkLocation=https://img.alicdn.com/imgextra/i3/2838504872/O1CN01Y200QqMdDYG2BxLq~crop,0,217,1080,1080~_!!2838504872.jpg, friendlyName=查看主图</x:v>
      </x:c>
      <x:c r="L237" s="9" t="str">
        <x:v>无明确性别信息</x:v>
      </x:c>
      <x:c r="M237" s="9" t="str">
        <x:v>瑜伽与紧身裤</x:v>
      </x:c>
      <x:c r="N237" s="9" t="str">
        <x:v>排行榜_商品榜_销售额榜_热销_运动服_休闲服装-健球迷用品-瑜伽长裤_2025-11-01_2026-10-31 (2).xlsx</x:v>
      </x:c>
      <x:c r="O237" s="9" t="str">
        <x:v>默认</x:v>
      </x:c>
      <x:c r="P237" s="9" t="n">
        <x:v>138</x:v>
      </x:c>
      <x:c r="Q237" s="9" t="str">
        <x:v>8cddb74b4b42ab56f275f05c92c7c706c83ff40bffff2914c8d64de594e32d80</x:v>
      </x:c>
      <x:c r="R237" s="9" t="str">
        <x:v>MIX_YOGA_AVGPAID_900_1000_ANNUAL2026</x:v>
      </x:c>
      <x:c r="S237" s="9" t="str">
        <x:v>排行榜_商品榜_销售额榜_热销_运动服_休闲服装-健球迷用品-瑜伽长裤_2025-11-01_2026-10-31 (2).xlsx / 默认 / 第138行 / SHA256 8cddb74b4b42ab56f275f05c92c7c706c83ff40bffff2914c8d64de594e32d80</x:v>
      </x:c>
    </x:row>
    <x:row r="238" ht="58" customHeight="1">
      <x:c r="A238" s="23" t="str">
        <x:v>1090787030883</x:v>
      </x:c>
      <x:c r="B238" s="22"/>
      <x:c r="C238" s="22"/>
      <x:c r="D238" s="9" t="str">
        <x:v>NikeSKIMS黑色裤装侧边线条阔腿简约风运动长裤秋冬新品REVOLVE</x:v>
      </x:c>
      <x:c r="E238" s="9" t="str">
        <x:v>未提供品牌</x:v>
      </x:c>
      <x:c r="F238" s="9" t="str">
        <x:v>长裤</x:v>
      </x:c>
      <x:c r="G238" s="9" t="str">
        <x:v>训练／运动长裤</x:v>
      </x:c>
      <x:c r="H238" s="24" t="n">
        <x:v>1101</x:v>
      </x:c>
      <x:c r="I238" s="25" t="e">
        <x:f>HYPERLINK("https://item.taobao.com/item.htm?id=1090787030883","打开商品")</x:f>
        <x:v>HYPERLINK is not implemented. linkLocation=https://item.taobao.com/item.htm?id=1090787030883, friendlyName=打开商品</x:v>
      </x:c>
      <x:c r="J238" s="25" t="e">
        <x:f>HYPERLINK("https://data.zhiyitech.cn/itemDetail/overview/base?itemId=1090787030883","打开知衣")</x:f>
        <x:v>HYPERLINK is not implemented. linkLocation=https://data.zhiyitech.cn/itemDetail/overview/base?itemId=1090787030883, friendlyName=打开知衣</x:v>
      </x:c>
      <x:c r="K238" s="25" t="e">
        <x:f>HYPERLINK("https://img.alicdn.com/imgextra/i1/2209089692943/O1CN01f4Ebs7iAQUG1chua-2209089692943.jpg","查看主图")</x:f>
        <x:v>HYPERLINK is not implemented. linkLocation=https://img.alicdn.com/imgextra/i1/2209089692943/O1CN01f4Ebs7iAQUG1chua-2209089692943.jpg, friendlyName=查看主图</x:v>
      </x:c>
      <x:c r="L238" s="9" t="str">
        <x:v>无明确性别信息</x:v>
      </x:c>
      <x:c r="M238" s="9" t="str">
        <x:v>运动下装</x:v>
      </x:c>
      <x:c r="N238" s="9" t="str">
        <x:v>排行榜_商品榜_销售额榜_热销_运动服_休闲服装-运休闲服装-跑步短裤_2025-11-01_2026-10-31 (9).xlsx</x:v>
      </x:c>
      <x:c r="O238" s="9" t="str">
        <x:v>默认</x:v>
      </x:c>
      <x:c r="P238" s="9" t="n">
        <x:v>380</x:v>
      </x:c>
      <x:c r="Q238" s="9" t="str">
        <x:v>bf4c13b761e645dc5b709fecfe2eba562c597469bada8d60d13514dd26d590ba</x:v>
      </x:c>
      <x:c r="R238" s="9" t="str">
        <x:v>MIX_SPORT_AVGPAID_1100_1200_ANNUAL2026</x:v>
      </x:c>
      <x:c r="S238" s="9" t="str">
        <x:v>排行榜_商品榜_销售额榜_热销_运动服_休闲服装-运休闲服装-跑步短裤_2025-11-01_2026-10-31 (9).xlsx / 默认 / 第380行 / SHA256 bf4c13b761e645dc5b709fecfe2eba562c597469bada8d60d13514dd26d590ba</x:v>
      </x:c>
    </x:row>
    <x:row r="239" ht="58" customHeight="1">
      <x:c r="A239" s="23" t="str">
        <x:v>669214587001</x:v>
      </x:c>
      <x:c r="B239" s="22"/>
      <x:c r="C239" s="22"/>
      <x:c r="D239" s="9" t="str">
        <x:v>Liberaiders x SOULGOODS 条纹工装长裤</x:v>
      </x:c>
      <x:c r="E239" s="9" t="str">
        <x:v>未提供品牌</x:v>
      </x:c>
      <x:c r="F239" s="9" t="str">
        <x:v>长裤</x:v>
      </x:c>
      <x:c r="G239" s="9" t="str">
        <x:v>训练／运动长裤</x:v>
      </x:c>
      <x:c r="H239" s="24" t="n">
        <x:v>1357.63</x:v>
      </x:c>
      <x:c r="I239" s="25" t="e">
        <x:f>HYPERLINK("https://item.taobao.com/item.htm?id=669214587001","打开商品")</x:f>
        <x:v>HYPERLINK is not implemented. linkLocation=https://item.taobao.com/item.htm?id=669214587001, friendlyName=打开商品</x:v>
      </x:c>
      <x:c r="J239" s="25" t="e">
        <x:f>HYPERLINK("https://data.zhiyitech.cn/itemDetail/overview/base?itemId=669214587001","打开知衣")</x:f>
        <x:v>HYPERLINK is not implemented. linkLocation=https://data.zhiyitech.cn/itemDetail/overview/base?itemId=669214587001, friendlyName=打开知衣</x:v>
      </x:c>
      <x:c r="K239" s="25" t="e">
        <x:f>HYPERLINK("https://img.alicdn.com/imgextra/i1/2923146621/O1CN01GKPSl91ymT5Z9FnCO_!!2923146621.jpg","查看主图")</x:f>
        <x:v>HYPERLINK is not implemented. linkLocation=https://img.alicdn.com/imgextra/i1/2923146621/O1CN01GKPSl91ymT5Z9FnCO_!!2923146621.jpg, friendlyName=查看主图</x:v>
      </x:c>
      <x:c r="L239" s="9" t="str">
        <x:v>无明确性别信息</x:v>
      </x:c>
      <x:c r="M239" s="9" t="str">
        <x:v>运动下装</x:v>
      </x:c>
      <x:c r="N239" s="9" t="str">
        <x:v>排行榜_商品榜_销售额榜_热销_运动服_休闲服装-运休闲服装-跑步短裤_2025-11-01_2026-10-31 (7).xlsx</x:v>
      </x:c>
      <x:c r="O239" s="9" t="str">
        <x:v>默认</x:v>
      </x:c>
      <x:c r="P239" s="9" t="n">
        <x:v>103</x:v>
      </x:c>
      <x:c r="Q239" s="9" t="str">
        <x:v>b4959cd74b14f4314b9473c91799b973e0b2ff209bedfdac04b6266e6a5d9ce9</x:v>
      </x:c>
      <x:c r="R239" s="9" t="str">
        <x:v>MIX_SPORT_AVGPAID_1300_1400_ANNUAL2026</x:v>
      </x:c>
      <x:c r="S239" s="9" t="str">
        <x:v>排行榜_商品榜_销售额榜_热销_运动服_休闲服装-运休闲服装-跑步短裤_2025-11-01_2026-10-31 (7).xlsx / 默认 / 第103行 / SHA256 b4959cd74b14f4314b9473c91799b973e0b2ff209bedfdac04b6266e6a5d9ce9</x:v>
      </x:c>
    </x:row>
    <x:row r="240" ht="58" customHeight="1">
      <x:c r="A240" s="23" t="str">
        <x:v>718626279891</x:v>
      </x:c>
      <x:c r="B240" s="22"/>
      <x:c r="C240" s="22"/>
      <x:c r="D240" s="9" t="str">
        <x:v>始祖鸟Arcteryx Gamma Quick Dry Pant/Short轻薄速干软壳长裤</x:v>
      </x:c>
      <x:c r="E240" s="9" t="str">
        <x:v>未提供品牌</x:v>
      </x:c>
      <x:c r="F240" s="9" t="str">
        <x:v>长裤</x:v>
      </x:c>
      <x:c r="G240" s="9" t="str">
        <x:v>户外速干长裤</x:v>
      </x:c>
      <x:c r="H240" s="24" t="n">
        <x:v>1250.05</x:v>
      </x:c>
      <x:c r="I240" s="25" t="e">
        <x:f>HYPERLINK("https://item.taobao.com/item.htm?id=718626279891","打开商品")</x:f>
        <x:v>HYPERLINK is not implemented. linkLocation=https://item.taobao.com/item.htm?id=718626279891, friendlyName=打开商品</x:v>
      </x:c>
      <x:c r="J240" s="25" t="e">
        <x:f>HYPERLINK("https://data.zhiyitech.cn/itemDetail/overview/base?itemId=718626279891","打开知衣")</x:f>
        <x:v>HYPERLINK is not implemented. linkLocation=https://data.zhiyitech.cn/itemDetail/overview/base?itemId=718626279891, friendlyName=打开知衣</x:v>
      </x:c>
      <x:c r="K240" s="25" t="e">
        <x:f>HYPERLINK("https://img.alicdn.com/bao/uploaded/i2/10365798/O1CN01E2taSM1shXEDVwviq_!!10365798.jpg","查看主图")</x:f>
        <x:v>HYPERLINK is not implemented. linkLocation=https://img.alicdn.com/bao/uploaded/i2/10365798/O1CN01E2taSM1shXEDVwviq_!!10365798.jpg, friendlyName=查看主图</x:v>
      </x:c>
      <x:c r="L240" s="9" t="str">
        <x:v>无明确性别信息</x:v>
      </x:c>
      <x:c r="M240" s="9" t="str">
        <x:v>户外裤装</x:v>
      </x:c>
      <x:c r="N240" s="9" t="str">
        <x:v>排行榜_商品榜_销售额榜_热销_户外_登山_野营_旅_旅行用品-软壳裤_2025-11-01_2026-10-31 (9).xlsx</x:v>
      </x:c>
      <x:c r="O240" s="9" t="str">
        <x:v>默认</x:v>
      </x:c>
      <x:c r="P240" s="9" t="n">
        <x:v>373</x:v>
      </x:c>
      <x:c r="Q240" s="9" t="str">
        <x:v>1a8263cebf9e8c01281f897bcc30b21360fd1a115226f764b021abd6b21cc568</x:v>
      </x:c>
      <x:c r="R240" s="9" t="str">
        <x:v>MIX_OUTDOOR_AVGPAID_1200_1300_ANNUAL2026</x:v>
      </x:c>
      <x:c r="S240" s="9" t="str">
        <x:v>排行榜_商品榜_销售额榜_热销_户外_登山_野营_旅_旅行用品-软壳裤_2025-11-01_2026-10-31 (9).xlsx / 默认 / 第373行 / SHA256 1a8263cebf9e8c01281f897bcc30b21360fd1a115226f764b021abd6b21cc568</x:v>
      </x:c>
    </x:row>
    <x:row r="241" ht="58" customHeight="1">
      <x:c r="A241" s="23" t="str">
        <x:v>919182158081</x:v>
      </x:c>
      <x:c r="B241" s="22"/>
      <x:c r="C241" s="22"/>
      <x:c r="D241" s="9" t="str">
        <x:v>ORSLOW U.S ARMY FATIGUE PANTS(REGULAR FIT)常规版型工装休闲裤</x:v>
      </x:c>
      <x:c r="E241" s="9" t="str">
        <x:v>未提供品牌</x:v>
      </x:c>
      <x:c r="F241" s="9" t="str">
        <x:v>长裤</x:v>
      </x:c>
      <x:c r="G241" s="9" t="str">
        <x:v>训练／运动长裤</x:v>
      </x:c>
      <x:c r="H241" s="24" t="n">
        <x:v>1085.81</x:v>
      </x:c>
      <x:c r="I241" s="25" t="e">
        <x:f>HYPERLINK("https://item.taobao.com/item.htm?id=919182158081","打开商品")</x:f>
        <x:v>HYPERLINK is not implemented. linkLocation=https://item.taobao.com/item.htm?id=919182158081, friendlyName=打开商品</x:v>
      </x:c>
      <x:c r="J241" s="25" t="e">
        <x:f>HYPERLINK("https://data.zhiyitech.cn/itemDetail/overview/base?itemId=919182158081","打开知衣")</x:f>
        <x:v>HYPERLINK is not implemented. linkLocation=https://data.zhiyitech.cn/itemDetail/overview/base?itemId=919182158081, friendlyName=打开知衣</x:v>
      </x:c>
      <x:c r="K241" s="25" t="e">
        <x:f>HYPERLINK("https://img.alicdn.com/bao/uploaded/i2/2923146621/O1CN01yv2pBW1ymTP7a2uKE_!!2923146621.jpg","查看主图")</x:f>
        <x:v>HYPERLINK is not implemented. linkLocation=https://img.alicdn.com/bao/uploaded/i2/2923146621/O1CN01yv2pBW1ymTP7a2uKE_!!2923146621.jpg, friendlyName=查看主图</x:v>
      </x:c>
      <x:c r="L241" s="9" t="str">
        <x:v>无明确性别信息</x:v>
      </x:c>
      <x:c r="M241" s="9" t="str">
        <x:v>运动下装</x:v>
      </x:c>
      <x:c r="N241" s="9" t="str">
        <x:v>排行榜_商品榜_销售额榜_热销_运动服_休闲服装-运休闲服装-跑步短裤_2025-11-01_2026-10-31 (10).xlsx</x:v>
      </x:c>
      <x:c r="O241" s="9" t="str">
        <x:v>默认</x:v>
      </x:c>
      <x:c r="P241" s="9" t="n">
        <x:v>381</x:v>
      </x:c>
      <x:c r="Q241" s="9" t="str">
        <x:v>77c2723e3730f60e82908e61638dbb3700ba4d487e03331cf25303638bb2767e</x:v>
      </x:c>
      <x:c r="R241" s="9" t="str">
        <x:v>MIX_SPORT_AVGPAID_1000_1100_ANNUAL2026</x:v>
      </x:c>
      <x:c r="S241" s="9" t="str">
        <x:v>排行榜_商品榜_销售额榜_热销_运动服_休闲服装-运休闲服装-跑步短裤_2025-11-01_2026-10-31 (10).xlsx / 默认 / 第381行 / SHA256 77c2723e3730f60e82908e61638dbb3700ba4d487e03331cf25303638bb2767e</x:v>
      </x:c>
    </x:row>
    <x:row r="242" ht="58" customHeight="1">
      <x:c r="A242" s="23" t="str">
        <x:v>963476667856</x:v>
      </x:c>
      <x:c r="B242" s="22"/>
      <x:c r="C242" s="22"/>
      <x:c r="D242" s="9" t="str">
        <x:v>NANAMICA 工装休闲长裤25AW</x:v>
      </x:c>
      <x:c r="E242" s="9" t="str">
        <x:v>未提供品牌</x:v>
      </x:c>
      <x:c r="F242" s="9" t="str">
        <x:v>长裤</x:v>
      </x:c>
      <x:c r="G242" s="9" t="str">
        <x:v>训练／运动长裤</x:v>
      </x:c>
      <x:c r="H242" s="24" t="n">
        <x:v>1528.92</x:v>
      </x:c>
      <x:c r="I242" s="25" t="e">
        <x:f>HYPERLINK("https://item.taobao.com/item.htm?id=963476667856","打开商品")</x:f>
        <x:v>HYPERLINK is not implemented. linkLocation=https://item.taobao.com/item.htm?id=963476667856, friendlyName=打开商品</x:v>
      </x:c>
      <x:c r="J242" s="25" t="e">
        <x:f>HYPERLINK("https://data.zhiyitech.cn/itemDetail/overview/base?itemId=963476667856","打开知衣")</x:f>
        <x:v>HYPERLINK is not implemented. linkLocation=https://data.zhiyitech.cn/itemDetail/overview/base?itemId=963476667856, friendlyName=打开知衣</x:v>
      </x:c>
      <x:c r="K242" s="25" t="e">
        <x:f>HYPERLINK("https://img.alicdn.com/bao/uploaded/i3/20989459/O1CN01VkcDQD2JkHT63A851_!!20989459.png","查看主图")</x:f>
        <x:v>HYPERLINK is not implemented. linkLocation=https://img.alicdn.com/bao/uploaded/i3/20989459/O1CN01VkcDQD2JkHT63A851_!!20989459.png, friendlyName=查看主图</x:v>
      </x:c>
      <x:c r="L242" s="9" t="str">
        <x:v>无明确性别信息</x:v>
      </x:c>
      <x:c r="M242" s="9" t="str">
        <x:v>运动下装</x:v>
      </x:c>
      <x:c r="N242" s="9" t="str">
        <x:v>排行榜_商品榜_销售额榜_热销_运动服_休闲服装-运休闲服装-跑步短裤_2025-11-01_2026-10-31 (5).xlsx</x:v>
      </x:c>
      <x:c r="O242" s="9" t="str">
        <x:v>默认</x:v>
      </x:c>
      <x:c r="P242" s="9" t="n">
        <x:v>103</x:v>
      </x:c>
      <x:c r="Q242" s="9" t="str">
        <x:v>9ad7424665e3f8b592ed8cec3e99707eea5b9bd2316d324ab5977c56b4039ec9</x:v>
      </x:c>
      <x:c r="R242" s="9" t="str">
        <x:v>MIX_SPORT_AVGPAID_1500_1600_ANNUAL2026</x:v>
      </x:c>
      <x:c r="S242" s="9" t="str">
        <x:v>排行榜_商品榜_销售额榜_热销_运动服_休闲服装-运休闲服装-跑步短裤_2025-11-01_2026-10-31 (5).xlsx / 默认 / 第103行 / SHA256 9ad7424665e3f8b592ed8cec3e99707eea5b9bd2316d324ab5977c56b4039ec9</x:v>
      </x:c>
    </x:row>
    <x:row r="243" ht="58" customHeight="1">
      <x:c r="A243" s="23" t="str">
        <x:v>963481527005</x:v>
      </x:c>
      <x:c r="B243" s="22"/>
      <x:c r="C243" s="22"/>
      <x:c r="D243" s="9" t="str">
        <x:v>现货 NANAMICA Cargo Deck Pants 涤纶防水纯色直筒工装裤 25AW</x:v>
      </x:c>
      <x:c r="E243" s="9" t="str">
        <x:v>未提供品牌</x:v>
      </x:c>
      <x:c r="F243" s="9" t="str">
        <x:v>长裤</x:v>
      </x:c>
      <x:c r="G243" s="9" t="str">
        <x:v>训练／运动长裤</x:v>
      </x:c>
      <x:c r="H243" s="24" t="n">
        <x:v>1366.86</x:v>
      </x:c>
      <x:c r="I243" s="25" t="e">
        <x:f>HYPERLINK("https://item.taobao.com/item.htm?id=963481527005","打开商品")</x:f>
        <x:v>HYPERLINK is not implemented. linkLocation=https://item.taobao.com/item.htm?id=963481527005, friendlyName=打开商品</x:v>
      </x:c>
      <x:c r="J243" s="25" t="e">
        <x:f>HYPERLINK("https://data.zhiyitech.cn/itemDetail/overview/base?itemId=963481527005","打开知衣")</x:f>
        <x:v>HYPERLINK is not implemented. linkLocation=https://data.zhiyitech.cn/itemDetail/overview/base?itemId=963481527005, friendlyName=打开知衣</x:v>
      </x:c>
      <x:c r="K243" s="25" t="e">
        <x:f>HYPERLINK("https://img.alicdn.com/tps/i1/20989459/O1CN01qtj0N42JkHT0Qa0Js_!!20989459.png","查看主图")</x:f>
        <x:v>HYPERLINK is not implemented. linkLocation=https://img.alicdn.com/tps/i1/20989459/O1CN01qtj0N42JkHT0Qa0Js_!!20989459.png, friendlyName=查看主图</x:v>
      </x:c>
      <x:c r="L243" s="9" t="str">
        <x:v>无明确性别信息</x:v>
      </x:c>
      <x:c r="M243" s="9" t="str">
        <x:v>运动下装</x:v>
      </x:c>
      <x:c r="N243" s="9" t="str">
        <x:v>排行榜_商品榜_销售额榜_热销_运动服_休闲服装-运休闲服装-跑步短裤_2025-11-01_2026-10-31 (7).xlsx</x:v>
      </x:c>
      <x:c r="O243" s="9" t="str">
        <x:v>默认</x:v>
      </x:c>
      <x:c r="P243" s="9" t="n">
        <x:v>169</x:v>
      </x:c>
      <x:c r="Q243" s="9" t="str">
        <x:v>b4959cd74b14f4314b9473c91799b973e0b2ff209bedfdac04b6266e6a5d9ce9</x:v>
      </x:c>
      <x:c r="R243" s="9" t="str">
        <x:v>MIX_SPORT_AVGPAID_1300_1400_ANNUAL2026</x:v>
      </x:c>
      <x:c r="S243" s="9" t="str">
        <x:v>排行榜_商品榜_销售额榜_热销_运动服_休闲服装-运休闲服装-跑步短裤_2025-11-01_2026-10-31 (7).xlsx / 默认 / 第169行 / SHA256 b4959cd74b14f4314b9473c91799b973e0b2ff209bedfdac04b6266e6a5d9ce9</x:v>
      </x:c>
    </x:row>
    <x:row r="244" ht="58" customHeight="1">
      <x:c r="A244" s="23" t="str">
        <x:v>963970646323</x:v>
      </x:c>
      <x:c r="B244" s="22"/>
      <x:c r="C244" s="22"/>
      <x:c r="D244" s="9" t="str">
        <x:v>现货NANAMICA ALPHADRY Club Pants速干光电子休闲直筒裤长裤西裤</x:v>
      </x:c>
      <x:c r="E244" s="9" t="str">
        <x:v>未提供品牌</x:v>
      </x:c>
      <x:c r="F244" s="9" t="str">
        <x:v>长裤</x:v>
      </x:c>
      <x:c r="G244" s="9" t="str">
        <x:v>训练／运动长裤</x:v>
      </x:c>
      <x:c r="H244" s="24" t="n">
        <x:v>1213.86</x:v>
      </x:c>
      <x:c r="I244" s="25" t="e">
        <x:f>HYPERLINK("https://item.taobao.com/item.htm?id=963970646323","打开商品")</x:f>
        <x:v>HYPERLINK is not implemented. linkLocation=https://item.taobao.com/item.htm?id=963970646323, friendlyName=打开商品</x:v>
      </x:c>
      <x:c r="J244" s="25" t="e">
        <x:f>HYPERLINK("https://data.zhiyitech.cn/itemDetail/overview/base?itemId=963970646323","打开知衣")</x:f>
        <x:v>HYPERLINK is not implemented. linkLocation=https://data.zhiyitech.cn/itemDetail/overview/base?itemId=963970646323, friendlyName=打开知衣</x:v>
      </x:c>
      <x:c r="K244" s="25" t="e">
        <x:f>HYPERLINK("https://img.alicdn.com/bao/uploaded/i3/20989459/O1CN01UWZ61j2JkHVxrmCvR_!!20989459.png","查看主图")</x:f>
        <x:v>HYPERLINK is not implemented. linkLocation=https://img.alicdn.com/bao/uploaded/i3/20989459/O1CN01UWZ61j2JkHVxrmCvR_!!20989459.png, friendlyName=查看主图</x:v>
      </x:c>
      <x:c r="L244" s="9" t="str">
        <x:v>无明确性别信息</x:v>
      </x:c>
      <x:c r="M244" s="9" t="str">
        <x:v>运动下装</x:v>
      </x:c>
      <x:c r="N244" s="9" t="str">
        <x:v>排行榜_商品榜_销售额榜_热销_运动服_休闲服装-运休闲服装-跑步短裤_2025-11-01_2026-10-31 (8).xlsx</x:v>
      </x:c>
      <x:c r="O244" s="9" t="str">
        <x:v>默认</x:v>
      </x:c>
      <x:c r="P244" s="9" t="n">
        <x:v>191</x:v>
      </x:c>
      <x:c r="Q244" s="9" t="str">
        <x:v>188467edd382ec56460cb456b88a35e4bc41edeb6d84588a2971ef0bea45a429</x:v>
      </x:c>
      <x:c r="R244" s="9" t="str">
        <x:v>MIX_SPORT_AVGPAID_1200_1300_ANNUAL2026</x:v>
      </x:c>
      <x:c r="S244" s="9" t="str">
        <x:v>排行榜_商品榜_销售额榜_热销_运动服_休闲服装-运休闲服装-跑步短裤_2025-11-01_2026-10-31 (8).xlsx / 默认 / 第191行 / SHA256 188467edd382ec56460cb456b88a35e4bc41edeb6d84588a2971ef0bea45a429</x:v>
      </x:c>
    </x:row>
    <x:row r="245" ht="58" customHeight="1">
      <x:c r="A245" s="23" t="str">
        <x:v>966452920502</x:v>
      </x:c>
      <x:c r="B245" s="22"/>
      <x:c r="C245" s="22"/>
      <x:c r="D245" s="9" t="str">
        <x:v>直邮 THE NORTH FACE北面紫标 Field 阔腿工装裤N25FC067</x:v>
      </x:c>
      <x:c r="E245" s="9" t="str">
        <x:v>未提供品牌</x:v>
      </x:c>
      <x:c r="F245" s="9" t="str">
        <x:v>长裤</x:v>
      </x:c>
      <x:c r="G245" s="9" t="str">
        <x:v>户外休闲长裤</x:v>
      </x:c>
      <x:c r="H245" s="24" t="n">
        <x:v>1706</x:v>
      </x:c>
      <x:c r="I245" s="25" t="e">
        <x:f>HYPERLINK("https://item.taobao.com/item.htm?id=966452920502","打开商品")</x:f>
        <x:v>HYPERLINK is not implemented. linkLocation=https://item.taobao.com/item.htm?id=966452920502, friendlyName=打开商品</x:v>
      </x:c>
      <x:c r="J245" s="25" t="e">
        <x:f>HYPERLINK("https://data.zhiyitech.cn/itemDetail/overview/base?itemId=966452920502","打开知衣")</x:f>
        <x:v>HYPERLINK is not implemented. linkLocation=https://data.zhiyitech.cn/itemDetail/overview/base?itemId=966452920502, friendlyName=打开知衣</x:v>
      </x:c>
      <x:c r="K245" s="25" t="e">
        <x:f>HYPERLINK("https://img.alicdn.com/i4/3381675087/O1CN01Mo8TMd1nRtrzeupEE_!!3381675087.jpg","查看主图")</x:f>
        <x:v>HYPERLINK is not implemented. linkLocation=https://img.alicdn.com/i4/3381675087/O1CN01Mo8TMd1nRtrzeupEE_!!3381675087.jpg, friendlyName=查看主图</x:v>
      </x:c>
      <x:c r="L245" s="9" t="str">
        <x:v>无明确性别信息</x:v>
      </x:c>
      <x:c r="M245" s="9" t="str">
        <x:v>户外裤装</x:v>
      </x:c>
      <x:c r="N245" s="9" t="str">
        <x:v>排行榜_商品榜_销售额榜_热销_户外_登山_野营_旅_旅行用品-软壳裤_2025-11-01_2026-10-31 (2).xlsx</x:v>
      </x:c>
      <x:c r="O245" s="9" t="str">
        <x:v>默认</x:v>
      </x:c>
      <x:c r="P245" s="9" t="n">
        <x:v>123</x:v>
      </x:c>
      <x:c r="Q245" s="9" t="str">
        <x:v>1161f40cd61dbe926ca1dae4ad0abd367c1a88484ba215667e1570ce4a85311d</x:v>
      </x:c>
      <x:c r="R245" s="9" t="str">
        <x:v>MIX_OUTDOOR_AVGPAID_1700_1800_ANNUAL2026</x:v>
      </x:c>
      <x:c r="S245" s="9" t="str">
        <x:v>排行榜_商品榜_销售额榜_热销_户外_登山_野营_旅_旅行用品-软壳裤_2025-11-01_2026-10-31 (2).xlsx / 默认 / 第123行 / SHA256 1161f40cd61dbe926ca1dae4ad0abd367c1a88484ba215667e1570ce4a85311d</x:v>
      </x:c>
    </x:row>
    <x:row r="246" ht="58" customHeight="1">
      <x:c r="A246" s="23" t="str">
        <x:v>975043149441</x:v>
      </x:c>
      <x:c r="B246" s="22"/>
      <x:c r="C246" s="22"/>
      <x:c r="D246" s="9" t="str">
        <x:v>现货授权UNIVERSAL PRODUCTS JUMBERCA SWEAT直筒休闲裤25FW</x:v>
      </x:c>
      <x:c r="E246" s="9" t="str">
        <x:v>未提供品牌</x:v>
      </x:c>
      <x:c r="F246" s="9" t="str">
        <x:v>长裤</x:v>
      </x:c>
      <x:c r="G246" s="9" t="str">
        <x:v>训练／运动长裤</x:v>
      </x:c>
      <x:c r="H246" s="24" t="n">
        <x:v>1499</x:v>
      </x:c>
      <x:c r="I246" s="25" t="e">
        <x:f>HYPERLINK("https://item.taobao.com/item.htm?id=975043149441","打开商品")</x:f>
        <x:v>HYPERLINK is not implemented. linkLocation=https://item.taobao.com/item.htm?id=975043149441, friendlyName=打开商品</x:v>
      </x:c>
      <x:c r="J246" s="25" t="e">
        <x:f>HYPERLINK("https://data.zhiyitech.cn/itemDetail/overview/base?itemId=975043149441","打开知衣")</x:f>
        <x:v>HYPERLINK is not implemented. linkLocation=https://data.zhiyitech.cn/itemDetail/overview/base?itemId=975043149441, friendlyName=打开知衣</x:v>
      </x:c>
      <x:c r="K246" s="25" t="e">
        <x:f>HYPERLINK("https://img.alicdn.com/bao/uploaded/i1/2923146621/O1CN01r5A7Ij1ymTRN5XhOL_!!2923146621.jpg","查看主图")</x:f>
        <x:v>HYPERLINK is not implemented. linkLocation=https://img.alicdn.com/bao/uploaded/i1/2923146621/O1CN01r5A7Ij1ymTRN5XhOL_!!2923146621.jpg, friendlyName=查看主图</x:v>
      </x:c>
      <x:c r="L246" s="9" t="str">
        <x:v>无明确性别信息</x:v>
      </x:c>
      <x:c r="M246" s="9" t="str">
        <x:v>运动下装</x:v>
      </x:c>
      <x:c r="N246" s="9" t="str">
        <x:v>排行榜_商品榜_销售额榜_热销_运动服_休闲服装-运休闲服装-跑步短裤_2025-11-01_2026-10-31 (6).xlsx</x:v>
      </x:c>
      <x:c r="O246" s="9" t="str">
        <x:v>默认</x:v>
      </x:c>
      <x:c r="P246" s="9" t="n">
        <x:v>106</x:v>
      </x:c>
      <x:c r="Q246" s="9" t="str">
        <x:v>51c5baf852346f6326f6a242f8205ac9db74e4145a36be5e01e3352750e8cecc</x:v>
      </x:c>
      <x:c r="R246" s="9" t="str">
        <x:v>MIX_SPORT_AVGPAID_1400_1500_ANNUAL2026</x:v>
      </x:c>
      <x:c r="S246" s="9" t="str">
        <x:v>排行榜_商品榜_销售额榜_热销_运动服_休闲服装-运休闲服装-跑步短裤_2025-11-01_2026-10-31 (6).xlsx / 默认 / 第106行 / SHA256 51c5baf852346f6326f6a242f8205ac9db74e4145a36be5e01e3352750e8cecc</x:v>
      </x:c>
    </x:row>
    <x:row r="247" ht="58" customHeight="1">
      <x:c r="A247" s="23" t="str">
        <x:v>975719816426</x:v>
      </x:c>
      <x:c r="B247" s="22"/>
      <x:c r="C247" s="22"/>
      <x:c r="D247" s="9" t="str">
        <x:v>现货授权UNIVERSAL PRODUCTS WOOL 2 TUCK宽松直筒廓形休闲裤25FW</x:v>
      </x:c>
      <x:c r="E247" s="9" t="str">
        <x:v>未提供品牌</x:v>
      </x:c>
      <x:c r="F247" s="9" t="str">
        <x:v>长裤</x:v>
      </x:c>
      <x:c r="G247" s="9" t="str">
        <x:v>训练／运动长裤</x:v>
      </x:c>
      <x:c r="H247" s="24" t="n">
        <x:v>1699</x:v>
      </x:c>
      <x:c r="I247" s="25" t="e">
        <x:f>HYPERLINK("https://item.taobao.com/item.htm?id=975719816426","打开商品")</x:f>
        <x:v>HYPERLINK is not implemented. linkLocation=https://item.taobao.com/item.htm?id=975719816426, friendlyName=打开商品</x:v>
      </x:c>
      <x:c r="J247" s="25" t="e">
        <x:f>HYPERLINK("https://data.zhiyitech.cn/itemDetail/overview/base?itemId=975719816426","打开知衣")</x:f>
        <x:v>HYPERLINK is not implemented. linkLocation=https://data.zhiyitech.cn/itemDetail/overview/base?itemId=975719816426, friendlyName=打开知衣</x:v>
      </x:c>
      <x:c r="K247" s="25" t="e">
        <x:f>HYPERLINK("https://img.alicdn.com/imgextra/i1/2923146621/O1CN01ER9et21ymTRPMCIzs_!!2923146621.jpg","查看主图")</x:f>
        <x:v>HYPERLINK is not implemented. linkLocation=https://img.alicdn.com/imgextra/i1/2923146621/O1CN01ER9et21ymTRPMCIzs_!!2923146621.jpg, friendlyName=查看主图</x:v>
      </x:c>
      <x:c r="L247" s="9" t="str">
        <x:v>无明确性别信息</x:v>
      </x:c>
      <x:c r="M247" s="9" t="str">
        <x:v>运动下装</x:v>
      </x:c>
      <x:c r="N247" s="9" t="str">
        <x:v>排行榜_商品榜_销售额榜_热销_运动服_休闲服装-运休闲服装-跑步短裤_2025-11-01_2026-10-31 (4).xlsx</x:v>
      </x:c>
      <x:c r="O247" s="9" t="str">
        <x:v>默认</x:v>
      </x:c>
      <x:c r="P247" s="9" t="n">
        <x:v>49</x:v>
      </x:c>
      <x:c r="Q247" s="9" t="str">
        <x:v>f87107da07f2a69cacdf5d1934c6ee6199ee509824961182157054c4707072d8</x:v>
      </x:c>
      <x:c r="R247" s="9" t="str">
        <x:v>MIX_SPORT_AVGPAID_1600_1700_ANNUAL2026</x:v>
      </x:c>
      <x:c r="S247" s="9" t="str">
        <x:v>排行榜_商品榜_销售额榜_热销_运动服_休闲服装-运休闲服装-跑步短裤_2025-11-01_2026-10-31 (4).xlsx / 默认 / 第49行 / SHA256 f87107da07f2a69cacdf5d1934c6ee6199ee509824961182157054c4707072d8</x:v>
      </x:c>
    </x:row>
    <x:row r="248" ht="58" customHeight="1">
      <x:c r="A248" s="23" t="str">
        <x:v>982371603474</x:v>
      </x:c>
      <x:c r="B248" s="22"/>
      <x:c r="C248" s="22"/>
      <x:c r="D248" s="9" t="str">
        <x:v>现货授权JIEDA FADE DRILL 3/4 DOUBLE KNEE高腰斜纹布七分裤25AW</x:v>
      </x:c>
      <x:c r="E248" s="9" t="str">
        <x:v>未提供品牌</x:v>
      </x:c>
      <x:c r="F248" s="9" t="str">
        <x:v>长裤</x:v>
      </x:c>
      <x:c r="G248" s="9" t="str">
        <x:v>中长裤／九分裤</x:v>
      </x:c>
      <x:c r="H248" s="24" t="n">
        <x:v>1383.13</x:v>
      </x:c>
      <x:c r="I248" s="25" t="e">
        <x:f>HYPERLINK("https://item.taobao.com/item.htm?id=982371603474","打开商品")</x:f>
        <x:v>HYPERLINK is not implemented. linkLocation=https://item.taobao.com/item.htm?id=982371603474, friendlyName=打开商品</x:v>
      </x:c>
      <x:c r="J248" s="25" t="e">
        <x:f>HYPERLINK("https://data.zhiyitech.cn/itemDetail/overview/base?itemId=982371603474","打开知衣")</x:f>
        <x:v>HYPERLINK is not implemented. linkLocation=https://data.zhiyitech.cn/itemDetail/overview/base?itemId=982371603474, friendlyName=打开知衣</x:v>
      </x:c>
      <x:c r="K248" s="25" t="e">
        <x:f>HYPERLINK("https://img.alicdn.com/bao/uploaded/i1/2923146621/O1CN014xSxTy1ymTRlJwpBG_!!2923146621.jpg","查看主图")</x:f>
        <x:v>HYPERLINK is not implemented. linkLocation=https://img.alicdn.com/bao/uploaded/i1/2923146621/O1CN014xSxTy1ymTRlJwpBG_!!2923146621.jpg, friendlyName=查看主图</x:v>
      </x:c>
      <x:c r="L248" s="9" t="str">
        <x:v>无明确性别信息</x:v>
      </x:c>
      <x:c r="M248" s="9" t="str">
        <x:v>运动下装</x:v>
      </x:c>
      <x:c r="N248" s="9" t="str">
        <x:v>排行榜_商品榜_销售额榜_热销_运动服_休闲服装-运休闲服装-跑步短裤_2025-11-01_2026-10-31 (7).xlsx</x:v>
      </x:c>
      <x:c r="O248" s="9" t="str">
        <x:v>默认</x:v>
      </x:c>
      <x:c r="P248" s="9" t="n">
        <x:v>175</x:v>
      </x:c>
      <x:c r="Q248" s="9" t="str">
        <x:v>b4959cd74b14f4314b9473c91799b973e0b2ff209bedfdac04b6266e6a5d9ce9</x:v>
      </x:c>
      <x:c r="R248" s="9" t="str">
        <x:v>MIX_SPORT_AVGPAID_1300_1400_ANNUAL2026</x:v>
      </x:c>
      <x:c r="S248" s="9" t="str">
        <x:v>排行榜_商品榜_销售额榜_热销_运动服_休闲服装-运休闲服装-跑步短裤_2025-11-01_2026-10-31 (7).xlsx / 默认 / 第175行 / SHA256 b4959cd74b14f4314b9473c91799b973e0b2ff209bedfdac04b6266e6a5d9ce9</x:v>
      </x:c>
    </x:row>
    <x:row r="249" ht="58" customHeight="1">
      <x:c r="A249" s="23" t="str">
        <x:v>987715723391</x:v>
      </x:c>
      <x:c r="B249" s="22"/>
      <x:c r="C249" s="22"/>
      <x:c r="D249" s="9" t="str">
        <x:v>现货授权ANACHRONORM COTTON SUEDE WIDE纯棉宽版直筒休闲裤25FW</x:v>
      </x:c>
      <x:c r="E249" s="9" t="str">
        <x:v>未提供品牌</x:v>
      </x:c>
      <x:c r="F249" s="9" t="str">
        <x:v>长裤</x:v>
      </x:c>
      <x:c r="G249" s="9" t="str">
        <x:v>训练／运动长裤</x:v>
      </x:c>
      <x:c r="H249" s="24" t="n">
        <x:v>1450</x:v>
      </x:c>
      <x:c r="I249" s="25" t="e">
        <x:f>HYPERLINK("https://item.taobao.com/item.htm?id=987715723391","打开商品")</x:f>
        <x:v>HYPERLINK is not implemented. linkLocation=https://item.taobao.com/item.htm?id=987715723391, friendlyName=打开商品</x:v>
      </x:c>
      <x:c r="J249" s="25" t="e">
        <x:f>HYPERLINK("https://data.zhiyitech.cn/itemDetail/overview/base?itemId=987715723391","打开知衣")</x:f>
        <x:v>HYPERLINK is not implemented. linkLocation=https://data.zhiyitech.cn/itemDetail/overview/base?itemId=987715723391, friendlyName=打开知衣</x:v>
      </x:c>
      <x:c r="K249" s="25" t="e">
        <x:f>HYPERLINK("https://img.alicdn.com/bao/uploaded/i3/2923146621/O1CN01LhCiHY1ymTRkdCeP9_!!2923146621.jpg","查看主图")</x:f>
        <x:v>HYPERLINK is not implemented. linkLocation=https://img.alicdn.com/bao/uploaded/i3/2923146621/O1CN01LhCiHY1ymTRkdCeP9_!!2923146621.jpg, friendlyName=查看主图</x:v>
      </x:c>
      <x:c r="L249" s="9" t="str">
        <x:v>无明确性别信息</x:v>
      </x:c>
      <x:c r="M249" s="9" t="str">
        <x:v>运动下装</x:v>
      </x:c>
      <x:c r="N249" s="9" t="str">
        <x:v>排行榜_商品榜_销售额榜_热销_运动服_休闲服装-运休闲服装-跑步短裤_2025-11-01_2026-10-31 (6).xlsx</x:v>
      </x:c>
      <x:c r="O249" s="9" t="str">
        <x:v>默认</x:v>
      </x:c>
      <x:c r="P249" s="9" t="n">
        <x:v>119</x:v>
      </x:c>
      <x:c r="Q249" s="9" t="str">
        <x:v>51c5baf852346f6326f6a242f8205ac9db74e4145a36be5e01e3352750e8cecc</x:v>
      </x:c>
      <x:c r="R249" s="9" t="str">
        <x:v>MIX_SPORT_AVGPAID_1400_1500_ANNUAL2026</x:v>
      </x:c>
      <x:c r="S249" s="9" t="str">
        <x:v>排行榜_商品榜_销售额榜_热销_运动服_休闲服装-运休闲服装-跑步短裤_2025-11-01_2026-10-31 (6).xlsx / 默认 / 第119行 / SHA256 51c5baf852346f6326f6a242f8205ac9db74e4145a36be5e01e3352750e8cecc</x:v>
      </x:c>
    </x:row>
    <x:row r="250" ht="58" customHeight="1">
      <x:c r="A250" s="23" t="str">
        <x:v>989151889526</x:v>
      </x:c>
      <x:c r="B250" s="22"/>
      <x:c r="C250" s="22"/>
      <x:c r="D250" s="9" t="str">
        <x:v>现货授权meanswhile Paper Touch Cargo PT 复古休闲工装裤25FW</x:v>
      </x:c>
      <x:c r="E250" s="9" t="str">
        <x:v>未提供品牌</x:v>
      </x:c>
      <x:c r="F250" s="9" t="str">
        <x:v>长裤</x:v>
      </x:c>
      <x:c r="G250" s="9" t="str">
        <x:v>训练／运动长裤</x:v>
      </x:c>
      <x:c r="H250" s="24" t="n">
        <x:v>1250.5</x:v>
      </x:c>
      <x:c r="I250" s="25" t="e">
        <x:f>HYPERLINK("https://item.taobao.com/item.htm?id=989151889526","打开商品")</x:f>
        <x:v>HYPERLINK is not implemented. linkLocation=https://item.taobao.com/item.htm?id=989151889526, friendlyName=打开商品</x:v>
      </x:c>
      <x:c r="J250" s="25" t="e">
        <x:f>HYPERLINK("https://data.zhiyitech.cn/itemDetail/overview/base?itemId=989151889526","打开知衣")</x:f>
        <x:v>HYPERLINK is not implemented. linkLocation=https://data.zhiyitech.cn/itemDetail/overview/base?itemId=989151889526, friendlyName=打开知衣</x:v>
      </x:c>
      <x:c r="K250" s="25" t="e">
        <x:f>HYPERLINK("https://img.alicdn.com/bao/uploaded/i4/2923146621/O1CN01gRt3f11ymTRmCd03t_!!2923146621.jpg","查看主图")</x:f>
        <x:v>HYPERLINK is not implemented. linkLocation=https://img.alicdn.com/bao/uploaded/i4/2923146621/O1CN01gRt3f11ymTRmCd03t_!!2923146621.jpg, friendlyName=查看主图</x:v>
      </x:c>
      <x:c r="L250" s="9" t="str">
        <x:v>无明确性别信息</x:v>
      </x:c>
      <x:c r="M250" s="9" t="str">
        <x:v>运动下装</x:v>
      </x:c>
      <x:c r="N250" s="9" t="str">
        <x:v>排行榜_商品榜_销售额榜_热销_运动服_休闲服装-运休闲服装-跑步短裤_2025-11-01_2026-10-31 (8).xlsx</x:v>
      </x:c>
      <x:c r="O250" s="9" t="str">
        <x:v>默认</x:v>
      </x:c>
      <x:c r="P250" s="9" t="n">
        <x:v>299</x:v>
      </x:c>
      <x:c r="Q250" s="9" t="str">
        <x:v>188467edd382ec56460cb456b88a35e4bc41edeb6d84588a2971ef0bea45a429</x:v>
      </x:c>
      <x:c r="R250" s="9" t="str">
        <x:v>MIX_SPORT_AVGPAID_1200_1300_ANNUAL2026</x:v>
      </x:c>
      <x:c r="S250" s="9" t="str">
        <x:v>排行榜_商品榜_销售额榜_热销_运动服_休闲服装-运休闲服装-跑步短裤_2025-11-01_2026-10-31 (8).xlsx / 默认 / 第299行 / SHA256 188467edd382ec56460cb456b88a35e4bc41edeb6d84588a2971ef0bea45a429</x:v>
      </x:c>
    </x:row>
    <x:row r="251" ht="58" customHeight="1">
      <x:c r="A251" s="23" t="str">
        <x:v>991466022288</x:v>
      </x:c>
      <x:c r="B251" s="22"/>
      <x:c r="C251" s="22"/>
      <x:c r="D251" s="9" t="str">
        <x:v>现货授权Liberaiders T/R TAPERED SLACKS户外休闲长裤秋冬25FW</x:v>
      </x:c>
      <x:c r="E251" s="9" t="str">
        <x:v>未提供品牌</x:v>
      </x:c>
      <x:c r="F251" s="9" t="str">
        <x:v>长裤</x:v>
      </x:c>
      <x:c r="G251" s="9" t="str">
        <x:v>训练／运动长裤</x:v>
      </x:c>
      <x:c r="H251" s="24" t="n">
        <x:v>1354.57</x:v>
      </x:c>
      <x:c r="I251" s="25" t="e">
        <x:f>HYPERLINK("https://item.taobao.com/item.htm?id=991466022288","打开商品")</x:f>
        <x:v>HYPERLINK is not implemented. linkLocation=https://item.taobao.com/item.htm?id=991466022288, friendlyName=打开商品</x:v>
      </x:c>
      <x:c r="J251" s="25" t="e">
        <x:f>HYPERLINK("https://data.zhiyitech.cn/itemDetail/overview/base?itemId=991466022288","打开知衣")</x:f>
        <x:v>HYPERLINK is not implemented. linkLocation=https://data.zhiyitech.cn/itemDetail/overview/base?itemId=991466022288, friendlyName=打开知衣</x:v>
      </x:c>
      <x:c r="K251" s="25" t="e">
        <x:f>HYPERLINK("https://img.alicdn.com/bao/uploaded/i2/2923146621/O1CN01BVrM3a1ymTSAbaNRw_!!2923146621.jpg","查看主图")</x:f>
        <x:v>HYPERLINK is not implemented. linkLocation=https://img.alicdn.com/bao/uploaded/i2/2923146621/O1CN01BVrM3a1ymTSAbaNRw_!!2923146621.jpg, friendlyName=查看主图</x:v>
      </x:c>
      <x:c r="L251" s="9" t="str">
        <x:v>无明确性别信息</x:v>
      </x:c>
      <x:c r="M251" s="9" t="str">
        <x:v>运动下装</x:v>
      </x:c>
      <x:c r="N251" s="9" t="str">
        <x:v>排行榜_商品榜_销售额榜_热销_运动服_休闲服装-运休闲服装-跑步短裤_2025-11-01_2026-10-31 (7).xlsx</x:v>
      </x:c>
      <x:c r="O251" s="9" t="str">
        <x:v>默认</x:v>
      </x:c>
      <x:c r="P251" s="9" t="n">
        <x:v>179</x:v>
      </x:c>
      <x:c r="Q251" s="9" t="str">
        <x:v>b4959cd74b14f4314b9473c91799b973e0b2ff209bedfdac04b6266e6a5d9ce9</x:v>
      </x:c>
      <x:c r="R251" s="9" t="str">
        <x:v>MIX_SPORT_AVGPAID_1300_1400_ANNUAL2026</x:v>
      </x:c>
      <x:c r="S251" s="9" t="str">
        <x:v>排行榜_商品榜_销售额榜_热销_运动服_休闲服装-运休闲服装-跑步短裤_2025-11-01_2026-10-31 (7).xlsx / 默认 / 第179行 / SHA256 b4959cd74b14f4314b9473c91799b973e0b2ff209bedfdac04b6266e6a5d9ce9</x:v>
      </x:c>
    </x:row>
    <x:row r="252" ht="58" customHeight="1">
      <x:c r="A252" s="23" t="str">
        <x:v>993057304635</x:v>
      </x:c>
      <x:c r="B252" s="22"/>
      <x:c r="C252" s="22"/>
      <x:c r="D252" s="9" t="str">
        <x:v>现货授权Liberaiders LR LOOSE FIT DENIM PANTS 水洗牛仔裤25FW</x:v>
      </x:c>
      <x:c r="E252" s="9" t="str">
        <x:v>未提供品牌</x:v>
      </x:c>
      <x:c r="F252" s="9" t="str">
        <x:v>长裤</x:v>
      </x:c>
      <x:c r="G252" s="9" t="str">
        <x:v>训练／运动长裤</x:v>
      </x:c>
      <x:c r="H252" s="24" t="n">
        <x:v>1500.12</x:v>
      </x:c>
      <x:c r="I252" s="25" t="e">
        <x:f>HYPERLINK("https://item.taobao.com/item.htm?id=993057304635","打开商品")</x:f>
        <x:v>HYPERLINK is not implemented. linkLocation=https://item.taobao.com/item.htm?id=993057304635, friendlyName=打开商品</x:v>
      </x:c>
      <x:c r="J252" s="25" t="e">
        <x:f>HYPERLINK("https://data.zhiyitech.cn/itemDetail/overview/base?itemId=993057304635","打开知衣")</x:f>
        <x:v>HYPERLINK is not implemented. linkLocation=https://data.zhiyitech.cn/itemDetail/overview/base?itemId=993057304635, friendlyName=打开知衣</x:v>
      </x:c>
      <x:c r="K252" s="25" t="e">
        <x:f>HYPERLINK("https://img.alicdn.com/imgextra/i1/2923146621/O1CN01QTpZ2l1ymTS8WHZIC_!!2923146621.jpg","查看主图")</x:f>
        <x:v>HYPERLINK is not implemented. linkLocation=https://img.alicdn.com/imgextra/i1/2923146621/O1CN01QTpZ2l1ymTS8WHZIC_!!2923146621.jpg, friendlyName=查看主图</x:v>
      </x:c>
      <x:c r="L252" s="9" t="str">
        <x:v>无明确性别信息</x:v>
      </x:c>
      <x:c r="M252" s="9" t="str">
        <x:v>运动下装</x:v>
      </x:c>
      <x:c r="N252" s="9" t="str">
        <x:v>排行榜_商品榜_销售额榜_热销_运动服_休闲服装-运休闲服装-跑步短裤_2025-11-01_2026-10-31 (5).xlsx</x:v>
      </x:c>
      <x:c r="O252" s="9" t="str">
        <x:v>默认</x:v>
      </x:c>
      <x:c r="P252" s="9" t="n">
        <x:v>154</x:v>
      </x:c>
      <x:c r="Q252" s="9" t="str">
        <x:v>9ad7424665e3f8b592ed8cec3e99707eea5b9bd2316d324ab5977c56b4039ec9</x:v>
      </x:c>
      <x:c r="R252" s="9" t="str">
        <x:v>MIX_SPORT_AVGPAID_1500_1600_ANNUAL2026</x:v>
      </x:c>
      <x:c r="S252" s="9" t="str">
        <x:v>排行榜_商品榜_销售额榜_热销_运动服_休闲服装-运休闲服装-跑步短裤_2025-11-01_2026-10-31 (5).xlsx / 默认 / 第154行 / SHA256 9ad7424665e3f8b592ed8cec3e99707eea5b9bd2316d324ab5977c56b4039ec9</x:v>
      </x:c>
    </x:row>
    <x:row r="253" ht="58" customHeight="1">
      <x:c r="A253" s="23" t="str">
        <x:v>999988257338</x:v>
      </x:c>
      <x:c r="B253" s="22"/>
      <x:c r="C253" s="22"/>
      <x:c r="D253" s="9" t="str">
        <x:v>现货授权N.HOOLYWOOD WIDE EASY PANTS 宽锥形休闲长裤 25SS</x:v>
      </x:c>
      <x:c r="E253" s="9" t="str">
        <x:v>未提供品牌</x:v>
      </x:c>
      <x:c r="F253" s="9" t="str">
        <x:v>长裤</x:v>
      </x:c>
      <x:c r="G253" s="9" t="str">
        <x:v>训练／运动长裤</x:v>
      </x:c>
      <x:c r="H253" s="24" t="n">
        <x:v>1300.15</x:v>
      </x:c>
      <x:c r="I253" s="25" t="e">
        <x:f>HYPERLINK("https://item.taobao.com/item.htm?id=999988257338","打开商品")</x:f>
        <x:v>HYPERLINK is not implemented. linkLocation=https://item.taobao.com/item.htm?id=999988257338, friendlyName=打开商品</x:v>
      </x:c>
      <x:c r="J253" s="25" t="e">
        <x:f>HYPERLINK("https://data.zhiyitech.cn/itemDetail/overview/base?itemId=999988257338","打开知衣")</x:f>
        <x:v>HYPERLINK is not implemented. linkLocation=https://data.zhiyitech.cn/itemDetail/overview/base?itemId=999988257338, friendlyName=打开知衣</x:v>
      </x:c>
      <x:c r="K253" s="25" t="e">
        <x:f>HYPERLINK("https://img.alicdn.com/imgextra/i2/2923146621/O1CN0153j2711ymTOzyBokC_!!2923146621.jpg","查看主图")</x:f>
        <x:v>HYPERLINK is not implemented. linkLocation=https://img.alicdn.com/imgextra/i2/2923146621/O1CN0153j2711ymTOzyBokC_!!2923146621.jpg, friendlyName=查看主图</x:v>
      </x:c>
      <x:c r="L253" s="9" t="str">
        <x:v>无明确性别信息</x:v>
      </x:c>
      <x:c r="M253" s="9" t="str">
        <x:v>运动下装</x:v>
      </x:c>
      <x:c r="N253" s="9" t="str">
        <x:v>排行榜_商品榜_销售额榜_热销_运动服_休闲服装-运休闲服装-跑步短裤_2025-11-01_2026-10-31 (7).xlsx</x:v>
      </x:c>
      <x:c r="O253" s="9" t="str">
        <x:v>默认</x:v>
      </x:c>
      <x:c r="P253" s="9" t="n">
        <x:v>216</x:v>
      </x:c>
      <x:c r="Q253" s="9" t="str">
        <x:v>b4959cd74b14f4314b9473c91799b973e0b2ff209bedfdac04b6266e6a5d9ce9</x:v>
      </x:c>
      <x:c r="R253" s="9" t="str">
        <x:v>MIX_SPORT_AVGPAID_1300_1400_ANNUAL2026</x:v>
      </x:c>
      <x:c r="S253" s="9" t="str">
        <x:v>排行榜_商品榜_销售额榜_热销_运动服_休闲服装-运休闲服装-跑步短裤_2025-11-01_2026-10-31 (7).xlsx / 默认 / 第216行 / SHA256 b4959cd74b14f4314b9473c91799b973e0b2ff209bedfdac04b6266e6a5d9ce9</x:v>
      </x:c>
    </x:row>
  </x:sheetData>
  <x:dataValidations count="1">
    <x:dataValidation type="list" sqref="B7:B253">
      <x:formula1>"男,女,男女通用,无法确认"</x:formula1>
    </x:dataValidation>
  </x:dataValidations>
  <x:pageMargins left="0.7" right="0.7" top="0.75" bottom="0.75" header="0.3" footer="0.3"/>
  <x:tableParts count="1">
    <x:tablePart xmlns:r="http://schemas.openxmlformats.org/officeDocument/2006/relationships" r:id="R4a8bf5abacd444ad"/>
  </x:tableParts>
</x:worksheet>
</file>

<file path=xl/worksheets/sheet2.xml><?xml version="1.0" encoding="utf-8"?>
<x:worksheet xmlns:x="http://schemas.openxmlformats.org/spreadsheetml/2006/main">
  <x:sheetPr>
    <x:tabColor rgb="FF2E4845"/>
  </x:sheetPr>
  <x:sheetViews>
    <x:sheetView showGridLines="0" workbookViewId="0">
      <x:pane xSplit="4" ySplit="6" topLeftCell="E7" activePane="bottomRight" state="frozen"/>
    </x:sheetView>
  </x:sheetViews>
  <x:sheetFormatPr defaultRowHeight="15"/>
  <x:cols>
    <x:col min="1" max="1" width="19" hidden="0" customWidth="1"/>
    <x:col min="2" max="2" width="23" hidden="0" customWidth="1"/>
    <x:col min="3" max="3" width="28" hidden="0" customWidth="1"/>
    <x:col min="4" max="4" width="27" hidden="0" customWidth="1"/>
    <x:col min="5" max="5" width="40" hidden="0" customWidth="1"/>
    <x:col min="6" max="6" width="20" hidden="0" customWidth="1"/>
    <x:col min="7" max="7" width="28" hidden="0" customWidth="1"/>
    <x:col min="8" max="8" width="16" hidden="0" customWidth="1"/>
    <x:col min="9" max="9" width="62" hidden="0" customWidth="1"/>
    <x:col min="10" max="10" width="24" hidden="0" customWidth="1"/>
    <x:col min="11" max="11" width="23" hidden="0" customWidth="1"/>
    <x:col min="12" max="12" width="28" hidden="0" customWidth="1"/>
    <x:col min="13" max="13" width="31" hidden="0" customWidth="1"/>
    <x:col min="14" max="14" width="31" hidden="0" customWidth="1"/>
    <x:col min="15" max="15" width="66" hidden="0" customWidth="1"/>
    <x:col min="16" max="16" width="23" hidden="0" customWidth="1"/>
    <x:col min="17" max="17" width="62" hidden="0" customWidth="1"/>
    <x:col min="18" max="18" width="15" hidden="0" customWidth="1"/>
    <x:col min="19" max="19" width="11" hidden="0" customWidth="1"/>
    <x:col min="20" max="20" width="66" hidden="0" customWidth="1"/>
    <x:col min="21" max="21" width="56" hidden="0" customWidth="1"/>
    <x:col min="22" max="22" width="86" hidden="0" customWidth="1"/>
  </x:cols>
  <x:sheetData>
    <x:row r="1">
      <x:c r="A1" s="2"/>
      <x:c r="B1" s="2"/>
      <x:c r="C1" s="2"/>
      <x:c r="D1" s="2"/>
      <x:c r="E1" s="2"/>
      <x:c r="F1" s="2"/>
      <x:c r="G1" s="2"/>
      <x:c r="H1" s="2"/>
      <x:c r="I1" s="2"/>
      <x:c r="J1" s="2"/>
      <x:c r="K1" s="2"/>
      <x:c r="L1" s="2"/>
      <x:c r="M1" s="2"/>
      <x:c r="N1" s="2"/>
      <x:c r="O1" s="2"/>
      <x:c r="P1" s="2"/>
      <x:c r="Q1" s="2"/>
      <x:c r="R1" s="2"/>
      <x:c r="S1" s="2"/>
      <x:c r="T1" s="2"/>
      <x:c r="U1" s="2"/>
      <x:c r="V1" s="2"/>
    </x:row>
    <x:row r="2" ht="32" customHeight="1">
      <x:c r="A2" s="4" t="str">
        <x:v>品类与形态待确认</x:v>
      </x:c>
      <x:c r="B2" s="5"/>
      <x:c r="C2" s="5"/>
      <x:c r="D2" s="5"/>
      <x:c r="E2" s="5"/>
      <x:c r="F2" s="5"/>
      <x:c r="G2" s="5"/>
      <x:c r="H2" s="5"/>
      <x:c r="I2" s="5"/>
      <x:c r="J2" s="5"/>
      <x:c r="K2" s="5"/>
      <x:c r="L2" s="5"/>
      <x:c r="M2" s="5"/>
      <x:c r="N2" s="5"/>
      <x:c r="O2" s="5"/>
      <x:c r="P2" s="5"/>
      <x:c r="Q2" s="5"/>
      <x:c r="R2" s="5"/>
      <x:c r="S2" s="5"/>
      <x:c r="T2" s="5"/>
      <x:c r="U2" s="5"/>
      <x:c r="V2" s="5"/>
    </x:row>
    <x:row r="3" ht="23" customHeight="1">
      <x:c r="A3" s="7" t="str">
        <x:v>共 1064 款。前 7 款为通用“裤装”，随后 2 款也缺裤长；请先填写 B、C 列。</x:v>
      </x:c>
      <x:c r="B3" s="7"/>
      <x:c r="C3" s="7"/>
      <x:c r="D3" s="7"/>
      <x:c r="E3" s="7"/>
      <x:c r="F3" s="7"/>
      <x:c r="G3" s="7"/>
      <x:c r="H3" s="7"/>
      <x:c r="I3" s="7"/>
      <x:c r="J3" s="7"/>
      <x:c r="K3" s="7"/>
      <x:c r="L3" s="7"/>
      <x:c r="M3" s="7"/>
      <x:c r="N3" s="7"/>
      <x:c r="O3" s="7"/>
      <x:c r="P3" s="7"/>
      <x:c r="Q3" s="7"/>
      <x:c r="R3" s="7"/>
      <x:c r="S3" s="7"/>
      <x:c r="T3" s="7"/>
      <x:c r="U3" s="7"/>
      <x:c r="V3" s="7"/>
    </x:row>
    <x:row r="4" ht="23" customHeight="1">
      <x:c r="A4" s="7" t="str">
        <x:v>其余按贴合度、长短款混售、裙长问题排列。仅缺裙长的商品已确认属于裙装，可按需要补充细分形态。</x:v>
      </x:c>
      <x:c r="B4" s="7"/>
      <x:c r="C4" s="7"/>
      <x:c r="D4" s="7"/>
      <x:c r="E4" s="7"/>
      <x:c r="F4" s="7"/>
      <x:c r="G4" s="7"/>
      <x:c r="H4" s="7"/>
      <x:c r="I4" s="7"/>
      <x:c r="J4" s="7"/>
      <x:c r="K4" s="7"/>
      <x:c r="L4" s="7"/>
      <x:c r="M4" s="7"/>
      <x:c r="N4" s="7"/>
      <x:c r="O4" s="7"/>
      <x:c r="P4" s="7"/>
      <x:c r="Q4" s="7"/>
      <x:c r="R4" s="7"/>
      <x:c r="S4" s="7"/>
      <x:c r="T4" s="7"/>
      <x:c r="U4" s="7"/>
      <x:c r="V4" s="7"/>
    </x:row>
    <x:row r="5" ht="10" customHeight="1">
      <x:c r="A5" s="2"/>
      <x:c r="B5" s="2"/>
      <x:c r="C5" s="2"/>
      <x:c r="D5" s="2"/>
      <x:c r="E5" s="2"/>
      <x:c r="F5" s="2"/>
      <x:c r="G5" s="2"/>
      <x:c r="H5" s="2"/>
      <x:c r="I5" s="2"/>
      <x:c r="J5" s="2"/>
      <x:c r="K5" s="2"/>
      <x:c r="L5" s="2"/>
      <x:c r="M5" s="2"/>
      <x:c r="N5" s="2"/>
      <x:c r="O5" s="2"/>
      <x:c r="P5" s="2"/>
      <x:c r="Q5" s="2"/>
      <x:c r="R5" s="2"/>
      <x:c r="S5" s="2"/>
      <x:c r="T5" s="2"/>
      <x:c r="U5" s="2"/>
      <x:c r="V5" s="2"/>
    </x:row>
    <x:row r="6" ht="36" customHeight="1">
      <x:c r="A6" s="18" t="str">
        <x:v>商品ID</x:v>
      </x:c>
      <x:c r="B6" s="19" t="str">
        <x:v>人工确认研究品类</x:v>
      </x:c>
      <x:c r="C6" s="19" t="str">
        <x:v>人工确认细分形态</x:v>
      </x:c>
      <x:c r="D6" s="19" t="str">
        <x:v>人工备注</x:v>
      </x:c>
      <x:c r="E6" s="19" t="str">
        <x:v>待确认问题</x:v>
      </x:c>
      <x:c r="F6" s="19" t="str">
        <x:v>当前研究品类</x:v>
      </x:c>
      <x:c r="G6" s="19" t="str">
        <x:v>当前细分形态</x:v>
      </x:c>
      <x:c r="H6" s="19" t="str">
        <x:v>当前性别</x:v>
      </x:c>
      <x:c r="I6" s="19" t="str">
        <x:v>商品标题</x:v>
      </x:c>
      <x:c r="J6" s="19" t="str">
        <x:v>规范品牌</x:v>
      </x:c>
      <x:c r="K6" s="19" t="str">
        <x:v>年度平均到手价（元）</x:v>
      </x:c>
      <x:c r="L6" s="19" t="str">
        <x:v>商品链接</x:v>
      </x:c>
      <x:c r="M6" s="19" t="str">
        <x:v>知衣链接（派生，未逐款验证）</x:v>
      </x:c>
      <x:c r="N6" s="19" t="str">
        <x:v>主图链接</x:v>
      </x:c>
      <x:c r="O6" s="19" t="str">
        <x:v>当前形态判定依据</x:v>
      </x:c>
      <x:c r="P6" s="19" t="str">
        <x:v>样本来源池</x:v>
      </x:c>
      <x:c r="Q6" s="19" t="str">
        <x:v>来源文件</x:v>
      </x:c>
      <x:c r="R6" s="19" t="str">
        <x:v>原sheet</x:v>
      </x:c>
      <x:c r="S6" s="19" t="str">
        <x:v>原行号</x:v>
      </x:c>
      <x:c r="T6" s="19" t="str">
        <x:v>来源SHA256</x:v>
      </x:c>
      <x:c r="U6" s="19" t="str">
        <x:v>查询ID</x:v>
      </x:c>
      <x:c r="V6" s="20" t="str">
        <x:v>全部来源位置</x:v>
      </x:c>
    </x:row>
    <x:row r="7" ht="58" customHeight="1">
      <x:c r="A7" s="23" t="str">
        <x:v>1076938839925</x:v>
      </x:c>
      <x:c r="B7" s="22"/>
      <x:c r="C7" s="22"/>
      <x:c r="D7" s="22"/>
      <x:c r="E7" s="9" t="str">
        <x:v>裤长未明确</x:v>
      </x:c>
      <x:c r="F7" s="9" t="str">
        <x:v>裤装</x:v>
      </x:c>
      <x:c r="G7" s="9" t="str">
        <x:v>宽松运动牛仔裤</x:v>
      </x:c>
      <x:c r="H7" s="9" t="str">
        <x:v>男</x:v>
      </x:c>
      <x:c r="I7" s="9" t="str">
        <x:v>三条纹宽松舒适运动牛仔裤男装adidas Originals阿迪达斯三叶草</x:v>
      </x:c>
      <x:c r="J7" s="9" t="str">
        <x:v>ADIDAS/阿迪达斯</x:v>
      </x:c>
      <x:c r="K7" s="24" t="n">
        <x:v>1231.54</x:v>
      </x:c>
      <x:c r="L7" s="25" t="e">
        <x:f>HYPERLINK("https://item.taobao.com/item.htm?id=1076938839925","打开商品")</x:f>
        <x:v>HYPERLINK is not implemented. linkLocation=https://item.taobao.com/item.htm?id=1076938839925, friendlyName=打开商品</x:v>
      </x:c>
      <x:c r="M7" s="25" t="e">
        <x:f>HYPERLINK("https://data.zhiyitech.cn/itemDetail/overview/base?itemId=1076938839925","打开知衣")</x:f>
        <x:v>HYPERLINK is not implemented. linkLocation=https://data.zhiyitech.cn/itemDetail/overview/base?itemId=1076938839925, friendlyName=打开知衣</x:v>
      </x:c>
      <x:c r="N7" s="25" t="e">
        <x:f>HYPERLINK("https://img.alicdn.com/bao/uploaded/i4/2211842372764/O1CN01PjPEAYSVJeB2vH2e_!!4611686018427384988-0-item_pic.jpg","查看主图")</x:f>
        <x:v>HYPERLINK is not implemented. linkLocation=https://img.alicdn.com/bao/uploaded/i4/2211842372764/O1CN01PjPEAYSVJeB2vH2e_!!4611686018427384988-0-item_pic.jpg, friendlyName=查看主图</x:v>
      </x:c>
      <x:c r="O7" s="9" t="str">
        <x:v>标题及既有类目语义复核；三条纹宽松舒适运动牛仔裤男装adidas Originals阿迪达斯三叶草；标题明确宽松运动牛仔裤；未用长裤/短裤词，不强判长度。</x:v>
      </x:c>
      <x:c r="P7" s="9" t="str">
        <x:v>运动下装</x:v>
      </x:c>
      <x:c r="Q7" s="9" t="str">
        <x:v>排行榜_商品榜_销售额榜_热销_运动服_休闲服装-运休闲服装-跑步短裤_2025-11-01_2026-10-31 (8).xlsx</x:v>
      </x:c>
      <x:c r="R7" s="9" t="str">
        <x:v>默认</x:v>
      </x:c>
      <x:c r="S7" s="9" t="n">
        <x:v>128</x:v>
      </x:c>
      <x:c r="T7" s="9" t="str">
        <x:v>188467edd382ec56460cb456b88a35e4bc41edeb6d84588a2971ef0bea45a429</x:v>
      </x:c>
      <x:c r="U7" s="9" t="str">
        <x:v>MIX_SPORT_AVGPAID_1200_1300_ANNUAL2026</x:v>
      </x:c>
      <x:c r="V7" s="9" t="str">
        <x:v>排行榜_商品榜_销售额榜_热销_运动服_休闲服装-运休闲服装-跑步短裤_2025-11-01_2026-10-31 (8).xlsx / 默认 / 第128行 / SHA256 188467edd382ec56460cb456b88a35e4bc41edeb6d84588a2971ef0bea45a429</x:v>
      </x:c>
    </x:row>
    <x:row r="8" ht="58" customHeight="1">
      <x:c r="A8" s="23" t="str">
        <x:v>962608650287</x:v>
      </x:c>
      <x:c r="B8" s="22"/>
      <x:c r="C8" s="22"/>
      <x:c r="D8" s="22"/>
      <x:c r="E8" s="9" t="str">
        <x:v>裤长未明确</x:v>
      </x:c>
      <x:c r="F8" s="9" t="str">
        <x:v>裤装</x:v>
      </x:c>
      <x:c r="G8" s="9" t="str">
        <x:v>宽松运动裤</x:v>
      </x:c>
      <x:c r="H8" s="9" t="str">
        <x:v>男</x:v>
      </x:c>
      <x:c r="I8" s="9" t="str">
        <x:v>Adidas男子百搭舒适宽松运动裤</x:v>
      </x:c>
      <x:c r="J8" s="9" t="str">
        <x:v>ADIDAS/阿迪达斯</x:v>
      </x:c>
      <x:c r="K8" s="24" t="n">
        <x:v>1647</x:v>
      </x:c>
      <x:c r="L8" s="25" t="e">
        <x:f>HYPERLINK("https://item.taobao.com/item.htm?id=962608650287","打开商品")</x:f>
        <x:v>HYPERLINK is not implemented. linkLocation=https://item.taobao.com/item.htm?id=962608650287, friendlyName=打开商品</x:v>
      </x:c>
      <x:c r="M8" s="25" t="e">
        <x:f>HYPERLINK("https://data.zhiyitech.cn/itemDetail/overview/base?itemId=962608650287","打开知衣")</x:f>
        <x:v>HYPERLINK is not implemented. linkLocation=https://data.zhiyitech.cn/itemDetail/overview/base?itemId=962608650287, friendlyName=打开知衣</x:v>
      </x:c>
      <x:c r="N8" s="25" t="e">
        <x:f>HYPERLINK("https://img.alicdn.com/bao/uploaded/i1/2648962620/O1CN01uxFxG71VE0lzhkZD8_!!4611686018427385404-0-item_pic.jpg","查看主图")</x:f>
        <x:v>HYPERLINK is not implemented. linkLocation=https://img.alicdn.com/bao/uploaded/i1/2648962620/O1CN01uxFxG71VE0lzhkZD8_!!4611686018427385404-0-item_pic.jpg, friendlyName=查看主图</x:v>
      </x:c>
      <x:c r="O8" s="9" t="str">
        <x:v>标题及既有类目语义复核；Adidas男子百搭舒适宽松运动裤；标题明确宽松运动裤，但没有长/短长度信息。</x:v>
      </x:c>
      <x:c r="P8" s="9" t="str">
        <x:v>运动下装</x:v>
      </x:c>
      <x:c r="Q8" s="9" t="str">
        <x:v>排行榜_商品榜_销售额榜_热销_运动服_休闲服装-运休闲服装-跑步短裤_2025-11-01_2026-10-31 (4).xlsx</x:v>
      </x:c>
      <x:c r="R8" s="9" t="str">
        <x:v>默认</x:v>
      </x:c>
      <x:c r="S8" s="9" t="n">
        <x:v>52</x:v>
      </x:c>
      <x:c r="T8" s="9" t="str">
        <x:v>f87107da07f2a69cacdf5d1934c6ee6199ee509824961182157054c4707072d8</x:v>
      </x:c>
      <x:c r="U8" s="9" t="str">
        <x:v>MIX_SPORT_AVGPAID_1600_1700_ANNUAL2026</x:v>
      </x:c>
      <x:c r="V8" s="9" t="str">
        <x:v>排行榜_商品榜_销售额榜_热销_运动服_休闲服装-运休闲服装-跑步短裤_2025-11-01_2026-10-31 (4).xlsx / 默认 / 第52行 / SHA256 f87107da07f2a69cacdf5d1934c6ee6199ee509824961182157054c4707072d8</x:v>
      </x:c>
    </x:row>
    <x:row r="9" ht="58" customHeight="1">
      <x:c r="A9" s="23" t="str">
        <x:v>997869814383</x:v>
      </x:c>
      <x:c r="B9" s="22"/>
      <x:c r="C9" s="22"/>
      <x:c r="D9" s="22"/>
      <x:c r="E9" s="9" t="str">
        <x:v>裤长未明确</x:v>
      </x:c>
      <x:c r="F9" s="9" t="str">
        <x:v>裤装</x:v>
      </x:c>
      <x:c r="G9" s="9" t="str">
        <x:v>阔腿运动裤</x:v>
      </x:c>
      <x:c r="H9" s="9" t="str">
        <x:v>女</x:v>
      </x:c>
      <x:c r="I9" s="9" t="str">
        <x:v>ECCO x NRL联名蝶翼阔腿裤女</x:v>
      </x:c>
      <x:c r="J9" s="9" t="str">
        <x:v>ECCO/爱步</x:v>
      </x:c>
      <x:c r="K9" s="24" t="n">
        <x:v>1345.76</x:v>
      </x:c>
      <x:c r="L9" s="25" t="e">
        <x:f>HYPERLINK("https://item.taobao.com/item.htm?id=997869814383","打开商品")</x:f>
        <x:v>HYPERLINK is not implemented. linkLocation=https://item.taobao.com/item.htm?id=997869814383, friendlyName=打开商品</x:v>
      </x:c>
      <x:c r="M9" s="25" t="e">
        <x:f>HYPERLINK("https://data.zhiyitech.cn/itemDetail/overview/base?itemId=997869814383","打开知衣")</x:f>
        <x:v>HYPERLINK is not implemented. linkLocation=https://data.zhiyitech.cn/itemDetail/overview/base?itemId=997869814383, friendlyName=打开知衣</x:v>
      </x:c>
      <x:c r="N9" s="25" t="e">
        <x:f>HYPERLINK("https://img.alicdn.com/bao/uploaded/i2/2207765709285/O1CN01txRq0O2ISad0CngER_!!4611686018427380197-0-item_pic.jpg","查看主图")</x:f>
        <x:v>HYPERLINK is not implemented. linkLocation=https://img.alicdn.com/bao/uploaded/i2/2207765709285/O1CN01txRq0O2ISad0CngER_!!4611686018427380197-0-item_pic.jpg, friendlyName=查看主图</x:v>
      </x:c>
      <x:c r="O9" s="9" t="str">
        <x:v>标题及既有类目语义复核；ECCO x NRL联名蝶翼阔腿裤女；标题明确阔腿裤，没有实际长短信息；不将阔腿一律等同长裤。</x:v>
      </x:c>
      <x:c r="P9" s="9" t="str">
        <x:v>运动下装</x:v>
      </x:c>
      <x:c r="Q9" s="9" t="str">
        <x:v>排行榜_商品榜_销售额榜_热销_运动服_休闲服装-运休闲服装-跑步短裤_2025-11-01_2026-10-31 (7).xlsx</x:v>
      </x:c>
      <x:c r="R9" s="9" t="str">
        <x:v>默认</x:v>
      </x:c>
      <x:c r="S9" s="9" t="n">
        <x:v>114</x:v>
      </x:c>
      <x:c r="T9" s="9" t="str">
        <x:v>b4959cd74b14f4314b9473c91799b973e0b2ff209bedfdac04b6266e6a5d9ce9</x:v>
      </x:c>
      <x:c r="U9" s="9" t="str">
        <x:v>MIX_SPORT_AVGPAID_1300_1400_ANNUAL2026</x:v>
      </x:c>
      <x:c r="V9" s="9" t="str">
        <x:v>排行榜_商品榜_销售额榜_热销_运动服_休闲服装-运休闲服装-跑步短裤_2025-11-01_2026-10-31 (7).xlsx / 默认 / 第114行 / SHA256 b4959cd74b14f4314b9473c91799b973e0b2ff209bedfdac04b6266e6a5d9ce9</x:v>
      </x:c>
    </x:row>
    <x:row r="10" ht="58" customHeight="1">
      <x:c r="A10" s="23" t="str">
        <x:v>754077703561</x:v>
      </x:c>
      <x:c r="B10" s="22"/>
      <x:c r="C10" s="22"/>
      <x:c r="D10" s="22"/>
      <x:c r="E10" s="9" t="str">
        <x:v>裤长未明确；贴合度未明确</x:v>
      </x:c>
      <x:c r="F10" s="9" t="str">
        <x:v>裤装</x:v>
      </x:c>
      <x:c r="G10" s="9" t="str">
        <x:v>运动裤</x:v>
      </x:c>
      <x:c r="H10" s="9" t="str">
        <x:v>待判定</x:v>
      </x:c>
      <x:c r="I10" s="9" t="str">
        <x:v>法国网球服Lacoste运动休闲</x:v>
      </x:c>
      <x:c r="J10" s="9" t="str">
        <x:v>LACOSTE/拉科斯特</x:v>
      </x:c>
      <x:c r="K10" s="24" t="n">
        <x:v>1000.45</x:v>
      </x:c>
      <x:c r="L10" s="25" t="e">
        <x:f>HYPERLINK("https://item.taobao.com/item.htm?id=754077703561","打开商品")</x:f>
        <x:v>HYPERLINK is not implemented. linkLocation=https://item.taobao.com/item.htm?id=754077703561, friendlyName=打开商品</x:v>
      </x:c>
      <x:c r="M10" s="25" t="e">
        <x:f>HYPERLINK("https://data.zhiyitech.cn/itemDetail/overview/base?itemId=754077703561","打开知衣")</x:f>
        <x:v>HYPERLINK is not implemented. linkLocation=https://data.zhiyitech.cn/itemDetail/overview/base?itemId=754077703561, friendlyName=打开知衣</x:v>
      </x:c>
      <x:c r="N10" s="25" t="e">
        <x:f>HYPERLINK("https://img.alicdn.com/bao/uploaded/i1/305575361/O1CN01b8mCj81pTOFiicaX9_!!0-item_pic.jpg","查看主图")</x:f>
        <x:v>HYPERLINK is not implemented. linkLocation=https://img.alicdn.com/bao/uploaded/i1/305575361/O1CN01b8mCj81pTOFiicaX9_!!0-item_pic.jpg, friendlyName=查看主图</x:v>
      </x:c>
      <x:c r="O10" s="9" t="str">
        <x:v>标题及既有类目语义复核；法国网球服Lacoste运动休闲；源类目为运动中长裤/短裤，标题“运动休闲”未说明裤长；给出已知运动裤粒度，裤长仍待补证。</x:v>
      </x:c>
      <x:c r="P10" s="9" t="str">
        <x:v>运动下装</x:v>
      </x:c>
      <x:c r="Q10" s="9" t="str">
        <x:v>排行榜_商品榜_销售额榜_热销_运动服_休闲服装-运休闲服装-跑步短裤_2025-11-01_2026-10-31 (10).xlsx</x:v>
      </x:c>
      <x:c r="R10" s="9" t="str">
        <x:v>默认</x:v>
      </x:c>
      <x:c r="S10" s="9" t="n">
        <x:v>446</x:v>
      </x:c>
      <x:c r="T10" s="9" t="str">
        <x:v>77c2723e3730f60e82908e61638dbb3700ba4d487e03331cf25303638bb2767e</x:v>
      </x:c>
      <x:c r="U10" s="9" t="str">
        <x:v>MIX_SPORT_AVGPAID_1000_1100_ANNUAL2026</x:v>
      </x:c>
      <x:c r="V10" s="9" t="str">
        <x:v>排行榜_商品榜_销售额榜_热销_运动服_休闲服装-运休闲服装-跑步短裤_2025-11-01_2026-10-31 (10).xlsx / 默认 / 第446行 / SHA256 77c2723e3730f60e82908e61638dbb3700ba4d487e03331cf25303638bb2767e</x:v>
      </x:c>
    </x:row>
    <x:row r="11" ht="58" customHeight="1">
      <x:c r="A11" s="23" t="str">
        <x:v>695727444690</x:v>
      </x:c>
      <x:c r="B11" s="22"/>
      <x:c r="C11" s="22"/>
      <x:c r="D11" s="22"/>
      <x:c r="E11" s="9" t="str">
        <x:v>裤长未明确；贴合度未明确</x:v>
      </x:c>
      <x:c r="F11" s="9" t="str">
        <x:v>裤装</x:v>
      </x:c>
      <x:c r="G11" s="9" t="str">
        <x:v>运动裤</x:v>
      </x:c>
      <x:c r="H11" s="9" t="str">
        <x:v>待判定</x:v>
      </x:c>
      <x:c r="I11" s="9" t="str">
        <x:v>欧克利品牌青年运动裤新款</x:v>
      </x:c>
      <x:c r="J11" s="9" t="str">
        <x:v>OAKLEY/欧克利</x:v>
      </x:c>
      <x:c r="K11" s="24" t="n">
        <x:v>1853</x:v>
      </x:c>
      <x:c r="L11" s="25" t="e">
        <x:f>HYPERLINK("https://item.taobao.com/item.htm?id=695727444690","打开商品")</x:f>
        <x:v>HYPERLINK is not implemented. linkLocation=https://item.taobao.com/item.htm?id=695727444690, friendlyName=打开商品</x:v>
      </x:c>
      <x:c r="M11" s="25" t="e">
        <x:f>HYPERLINK("https://data.zhiyitech.cn/itemDetail/overview/base?itemId=695727444690","打开知衣")</x:f>
        <x:v>HYPERLINK is not implemented. linkLocation=https://data.zhiyitech.cn/itemDetail/overview/base?itemId=695727444690, friendlyName=打开知衣</x:v>
      </x:c>
      <x:c r="N11" s="25" t="e">
        <x:f>HYPERLINK("https://img.alicdn.com/bao/uploaded/i2/741132269/O1CN01Xs0KTS1SdFmhDzHku_!!4611686018427381741-0-item_pic.jpg","查看主图")</x:f>
        <x:v>HYPERLINK is not implemented. linkLocation=https://img.alicdn.com/bao/uploaded/i2/741132269/O1CN01Xs0KTS1SdFmhDzHku_!!4611686018427381741-0-item_pic.jpg, friendlyName=查看主图</x:v>
      </x:c>
      <x:c r="O11" s="9" t="str">
        <x:v>标题及既有类目语义复核；欧克利品牌青年运动裤新款；标题只能确认运动裤，不能从“青年”推出男款或裤长。</x:v>
      </x:c>
      <x:c r="P11" s="9" t="str">
        <x:v>运动下装</x:v>
      </x:c>
      <x:c r="Q11" s="9" t="str">
        <x:v>排行榜_商品榜_销售额榜_热销_运动服_休闲服装-运休闲服装-跑步短裤_2025-11-01_2026-10-31 (2).xlsx</x:v>
      </x:c>
      <x:c r="R11" s="9" t="str">
        <x:v>默认</x:v>
      </x:c>
      <x:c r="S11" s="9" t="n">
        <x:v>38</x:v>
      </x:c>
      <x:c r="T11" s="9" t="str">
        <x:v>d4303838acbe96e5d87b9779c87272c941a19ebdcbae2ed4b34c418160904013</x:v>
      </x:c>
      <x:c r="U11" s="9" t="str">
        <x:v>MIX_SPORT_AVGPAID_1800_1900_ANNUAL2026</x:v>
      </x:c>
      <x:c r="V11" s="9" t="str">
        <x:v>排行榜_商品榜_销售额榜_热销_运动服_休闲服装-运休闲服装-跑步短裤_2025-11-01_2026-10-31 (2).xlsx / 默认 / 第38行 / SHA256 d4303838acbe96e5d87b9779c87272c941a19ebdcbae2ed4b34c418160904013</x:v>
      </x:c>
    </x:row>
    <x:row r="12" ht="58" customHeight="1">
      <x:c r="A12" s="23" t="str">
        <x:v>1091055510584</x:v>
      </x:c>
      <x:c r="B12" s="22"/>
      <x:c r="C12" s="22"/>
      <x:c r="D12" s="22"/>
      <x:c r="E12" s="9" t="str">
        <x:v>裤长未明确；贴合度未明确</x:v>
      </x:c>
      <x:c r="F12" s="9" t="str">
        <x:v>裤装</x:v>
      </x:c>
      <x:c r="G12" s="9" t="str">
        <x:v>跑步裤</x:v>
      </x:c>
      <x:c r="H12" s="9" t="str">
        <x:v>女</x:v>
      </x:c>
      <x:c r="I12" s="9" t="str">
        <x:v>SOAR女子轻量透气跑步裤SS2W</x:v>
      </x:c>
      <x:c r="J12" s="9" t="str">
        <x:v>SOAR RUNNING</x:v>
      </x:c>
      <x:c r="K12" s="24" t="n">
        <x:v>1200.25</x:v>
      </x:c>
      <x:c r="L12" s="25" t="e">
        <x:f>HYPERLINK("https://item.taobao.com/item.htm?id=1091055510584","打开商品")</x:f>
        <x:v>HYPERLINK is not implemented. linkLocation=https://item.taobao.com/item.htm?id=1091055510584, friendlyName=打开商品</x:v>
      </x:c>
      <x:c r="M12" s="25" t="e">
        <x:f>HYPERLINK("https://data.zhiyitech.cn/itemDetail/overview/base?itemId=1091055510584","打开知衣")</x:f>
        <x:v>HYPERLINK is not implemented. linkLocation=https://data.zhiyitech.cn/itemDetail/overview/base?itemId=1091055510584, friendlyName=打开知衣</x:v>
      </x:c>
      <x:c r="N12" s="25" t="e">
        <x:f>HYPERLINK("https://img.alicdn.com/bao/uploaded/i1/2219877149975/O1CN01bqw8l883M2I1chua_!!4611686018427383063-0-item_pic.jpg","查看主图")</x:f>
        <x:v>HYPERLINK is not implemented. linkLocation=https://img.alicdn.com/bao/uploaded/i1/2219877149975/O1CN01bqw8l883M2I1chua_!!4611686018427383063-0-item_pic.jpg, friendlyName=查看主图</x:v>
      </x:c>
      <x:c r="O12" s="9" t="str">
        <x:v>标题及既有类目语义复核；SOAR女子轻量透气跑步裤SS2W；标题仅明确跑步裤；SS2W型号本身不作为长短或贴合度证据。</x:v>
      </x:c>
      <x:c r="P12" s="9" t="str">
        <x:v>运动下装</x:v>
      </x:c>
      <x:c r="Q12" s="9" t="str">
        <x:v>排行榜_商品榜_销售额榜_热销_运动服_休闲服装-运休闲服装-跑步短裤_2025-11-01_2026-10-31 (8).xlsx</x:v>
      </x:c>
      <x:c r="R12" s="9" t="str">
        <x:v>默认</x:v>
      </x:c>
      <x:c r="S12" s="9" t="n">
        <x:v>277</x:v>
      </x:c>
      <x:c r="T12" s="9" t="str">
        <x:v>188467edd382ec56460cb456b88a35e4bc41edeb6d84588a2971ef0bea45a429</x:v>
      </x:c>
      <x:c r="U12" s="9" t="str">
        <x:v>MIX_SPORT_AVGPAID_1200_1300_ANNUAL2026</x:v>
      </x:c>
      <x:c r="V12" s="9" t="str">
        <x:v>排行榜_商品榜_销售额榜_热销_运动服_休闲服装-运休闲服装-跑步短裤_2025-11-01_2026-10-31 (8).xlsx / 默认 / 第277行 / SHA256 188467edd382ec56460cb456b88a35e4bc41edeb6d84588a2971ef0bea45a429</x:v>
      </x:c>
    </x:row>
    <x:row r="13" ht="58" customHeight="1">
      <x:c r="A13" s="23" t="str">
        <x:v>1056709787496</x:v>
      </x:c>
      <x:c r="B13" s="22"/>
      <x:c r="C13" s="22"/>
      <x:c r="D13" s="22"/>
      <x:c r="E13" s="9" t="str">
        <x:v>裤长未明确；贴合度未明确</x:v>
      </x:c>
      <x:c r="F13" s="9" t="str">
        <x:v>裤装</x:v>
      </x:c>
      <x:c r="G13" s="9" t="str">
        <x:v>软壳运动裤</x:v>
      </x:c>
      <x:c r="H13" s="9" t="str">
        <x:v>待判定</x:v>
      </x:c>
      <x:c r="I13" s="9" t="str">
        <x:v>北面巅峰系列拒水防风软壳裤</x:v>
      </x:c>
      <x:c r="J13" s="9" t="str">
        <x:v>THE NORTH FACE/北面</x:v>
      </x:c>
      <x:c r="K13" s="24" t="n">
        <x:v>1406.24</x:v>
      </x:c>
      <x:c r="L13" s="25" t="e">
        <x:f>HYPERLINK("https://item.taobao.com/item.htm?id=1056709787496","打开商品")</x:f>
        <x:v>HYPERLINK is not implemented. linkLocation=https://item.taobao.com/item.htm?id=1056709787496, friendlyName=打开商品</x:v>
      </x:c>
      <x:c r="M13" s="25" t="e">
        <x:f>HYPERLINK("https://data.zhiyitech.cn/itemDetail/overview/base?itemId=1056709787496","打开知衣")</x:f>
        <x:v>HYPERLINK is not implemented. linkLocation=https://data.zhiyitech.cn/itemDetail/overview/base?itemId=1056709787496, friendlyName=打开知衣</x:v>
      </x:c>
      <x:c r="N13" s="25" t="e">
        <x:f>HYPERLINK("https://img.alicdn.com/bao/uploaded/i3/97241050/O1CN01gbqLS21Jcx10vDBae_!!97241050.jpg","查看主图")</x:f>
        <x:v>HYPERLINK is not implemented. linkLocation=https://img.alicdn.com/bao/uploaded/i3/97241050/O1CN01gbqLS21Jcx10vDBae_!!97241050.jpg, friendlyName=查看主图</x:v>
      </x:c>
      <x:c r="O13" s="9" t="str">
        <x:v>标题及既有类目语义复核；北面巅峰系列拒水防风软壳裤；标题明确软壳裤，但没有裤长；源运动中长裤/短裤池不足以强判长度。</x:v>
      </x:c>
      <x:c r="P13" s="9" t="str">
        <x:v>运动下装</x:v>
      </x:c>
      <x:c r="Q13" s="9" t="str">
        <x:v>排行榜_商品榜_销售额榜_热销_运动服_休闲服装-运休闲服装-跑步短裤_2025-11-01_2026-10-31 (6).xlsx</x:v>
      </x:c>
      <x:c r="R13" s="9" t="str">
        <x:v>默认</x:v>
      </x:c>
      <x:c r="S13" s="9" t="n">
        <x:v>98</x:v>
      </x:c>
      <x:c r="T13" s="9" t="str">
        <x:v>51c5baf852346f6326f6a242f8205ac9db74e4145a36be5e01e3352750e8cecc</x:v>
      </x:c>
      <x:c r="U13" s="9" t="str">
        <x:v>MIX_SPORT_AVGPAID_1400_1500_ANNUAL2026</x:v>
      </x:c>
      <x:c r="V13" s="9" t="str">
        <x:v>排行榜_商品榜_销售额榜_热销_运动服_休闲服装-运休闲服装-跑步短裤_2025-11-01_2026-10-31 (6).xlsx / 默认 / 第98行 / SHA256 51c5baf852346f6326f6a242f8205ac9db74e4145a36be5e01e3352750e8cecc</x:v>
      </x:c>
    </x:row>
    <x:row r="14" ht="58" customHeight="1">
      <x:c r="A14" s="23" t="str">
        <x:v>942577653113</x:v>
      </x:c>
      <x:c r="B14" s="22"/>
      <x:c r="C14" s="22"/>
      <x:c r="D14" s="22"/>
      <x:c r="E14" s="9" t="str">
        <x:v>裤长未明确</x:v>
      </x:c>
      <x:c r="F14" s="9" t="str">
        <x:v>紧身裤</x:v>
      </x:c>
      <x:c r="G14" s="9" t="str">
        <x:v>跑步紧身裤</x:v>
      </x:c>
      <x:c r="H14" s="9" t="str">
        <x:v>女</x:v>
      </x:c>
      <x:c r="I14" s="9" t="str">
        <x:v>【新色来袭】SOAR X RACE竞速系列女子马拉松竞赛轻量紧身裤SS3W</x:v>
      </x:c>
      <x:c r="J14" s="9" t="str">
        <x:v>SOAR RUNNING</x:v>
      </x:c>
      <x:c r="K14" s="24" t="n">
        <x:v>1308.51</x:v>
      </x:c>
      <x:c r="L14" s="25" t="e">
        <x:f>HYPERLINK("https://item.taobao.com/item.htm?id=942577653113","打开商品")</x:f>
        <x:v>HYPERLINK is not implemented. linkLocation=https://item.taobao.com/item.htm?id=942577653113, friendlyName=打开商品</x:v>
      </x:c>
      <x:c r="M14" s="25" t="e">
        <x:f>HYPERLINK("https://data.zhiyitech.cn/itemDetail/overview/base?itemId=942577653113","打开知衣")</x:f>
        <x:v>HYPERLINK is not implemented. linkLocation=https://data.zhiyitech.cn/itemDetail/overview/base?itemId=942577653113, friendlyName=打开知衣</x:v>
      </x:c>
      <x:c r="N14" s="25" t="e">
        <x:f>HYPERLINK("https://img.alicdn.com/bao/uploaded/i4/2219877149975/O1CN018s0D0Bn8PVC1chua_!!2219877149975.jpg","查看主图")</x:f>
        <x:v>HYPERLINK is not implemented. linkLocation=https://img.alicdn.com/bao/uploaded/i4/2219877149975/O1CN018s0D0Bn8PVC1chua_!!2219877149975.jpg, friendlyName=查看主图</x:v>
      </x:c>
      <x:c r="O14" s="9" t="str">
        <x:v>标题及既有类目语义复核；【新色来袭】SOAR X RACE竞速系列女子马拉松竞赛轻量紧身裤SS3W；标题明确马拉松紧身裤，紧身族可确定；SS3W型号不作为短裤长度证据。</x:v>
      </x:c>
      <x:c r="P14" s="9" t="str">
        <x:v>运动下装</x:v>
      </x:c>
      <x:c r="Q14" s="9" t="str">
        <x:v>排行榜_商品榜_销售额榜_热销_运动服_休闲服装-运休闲服装-跑步短裤_2025-11-01_2026-10-31 (7).xlsx</x:v>
      </x:c>
      <x:c r="R14" s="9" t="str">
        <x:v>默认</x:v>
      </x:c>
      <x:c r="S14" s="9" t="n">
        <x:v>43</x:v>
      </x:c>
      <x:c r="T14" s="9" t="str">
        <x:v>b4959cd74b14f4314b9473c91799b973e0b2ff209bedfdac04b6266e6a5d9ce9</x:v>
      </x:c>
      <x:c r="U14" s="9" t="str">
        <x:v>MIX_SPORT_AVGPAID_1300_1400_ANNUAL2026</x:v>
      </x:c>
      <x:c r="V14" s="9" t="str">
        <x:v>排行榜_商品榜_销售额榜_热销_运动服_休闲服装-运休闲服装-跑步短裤_2025-11-01_2026-10-31 (7).xlsx / 默认 / 第43行 / SHA256 b4959cd74b14f4314b9473c91799b973e0b2ff209bedfdac04b6266e6a5d9ce9</x:v>
      </x:c>
    </x:row>
    <x:row r="15" ht="58" customHeight="1">
      <x:c r="A15" s="23" t="str">
        <x:v>943121436174</x:v>
      </x:c>
      <x:c r="B15" s="22"/>
      <x:c r="C15" s="22"/>
      <x:c r="D15" s="22"/>
      <x:c r="E15" s="9" t="str">
        <x:v>裤长未明确</x:v>
      </x:c>
      <x:c r="F15" s="9" t="str">
        <x:v>紧身裤</x:v>
      </x:c>
      <x:c r="G15" s="9" t="str">
        <x:v>跑步紧身裤</x:v>
      </x:c>
      <x:c r="H15" s="9" t="str">
        <x:v>女</x:v>
      </x:c>
      <x:c r="I15" s="9" t="str">
        <x:v>【新色来袭】SOAR X RACE竞速系列女子马拉松轻量弹力紧身裤SS5W</x:v>
      </x:c>
      <x:c r="J15" s="9" t="str">
        <x:v>SOAR RUNNING</x:v>
      </x:c>
      <x:c r="K15" s="24" t="n">
        <x:v>1441.79</x:v>
      </x:c>
      <x:c r="L15" s="25" t="e">
        <x:f>HYPERLINK("https://item.taobao.com/item.htm?id=943121436174","打开商品")</x:f>
        <x:v>HYPERLINK is not implemented. linkLocation=https://item.taobao.com/item.htm?id=943121436174, friendlyName=打开商品</x:v>
      </x:c>
      <x:c r="M15" s="25" t="e">
        <x:f>HYPERLINK("https://data.zhiyitech.cn/itemDetail/overview/base?itemId=943121436174","打开知衣")</x:f>
        <x:v>HYPERLINK is not implemented. linkLocation=https://data.zhiyitech.cn/itemDetail/overview/base?itemId=943121436174, friendlyName=打开知衣</x:v>
      </x:c>
      <x:c r="N15" s="25" t="e">
        <x:f>HYPERLINK("https://img.alicdn.com/bao/uploaded/i2/2219877149975/O1CN016n4WNExTiqD1chua_!!2219877149975.jpg","查看主图")</x:f>
        <x:v>HYPERLINK is not implemented. linkLocation=https://img.alicdn.com/bao/uploaded/i2/2219877149975/O1CN016n4WNExTiqD1chua_!!2219877149975.jpg, friendlyName=查看主图</x:v>
      </x:c>
      <x:c r="O15" s="9" t="str">
        <x:v>标题及既有类目语义复核；【新色来袭】SOAR X RACE竞速系列女子马拉松轻量弹力紧身裤SS5W；标题明确马拉松紧身裤，紧身族可确定；SS5W型号不作为短裤长度证据。</x:v>
      </x:c>
      <x:c r="P15" s="9" t="str">
        <x:v>运动下装</x:v>
      </x:c>
      <x:c r="Q15" s="9" t="str">
        <x:v>排行榜_商品榜_销售额榜_热销_运动服_休闲服装-运休闲服装-跑步短裤_2025-11-01_2026-10-31 (6).xlsx</x:v>
      </x:c>
      <x:c r="R15" s="9" t="str">
        <x:v>默认</x:v>
      </x:c>
      <x:c r="S15" s="9" t="n">
        <x:v>11</x:v>
      </x:c>
      <x:c r="T15" s="9" t="str">
        <x:v>51c5baf852346f6326f6a242f8205ac9db74e4145a36be5e01e3352750e8cecc</x:v>
      </x:c>
      <x:c r="U15" s="9" t="str">
        <x:v>MIX_SPORT_AVGPAID_1400_1500_ANNUAL2026</x:v>
      </x:c>
      <x:c r="V15" s="9" t="str">
        <x:v>排行榜_商品榜_销售额榜_热销_运动服_休闲服装-运休闲服装-跑步短裤_2025-11-01_2026-10-31 (6).xlsx / 默认 / 第11行 / SHA256 51c5baf852346f6326f6a242f8205ac9db74e4145a36be5e01e3352750e8cecc</x:v>
      </x:c>
    </x:row>
    <x:row r="16" ht="58" customHeight="1">
      <x:c r="A16" s="23" t="str">
        <x:v>1068111406848</x:v>
      </x:c>
      <x:c r="B16" s="22"/>
      <x:c r="C16" s="22"/>
      <x:c r="D16" s="22"/>
      <x:c r="E16" s="9" t="str">
        <x:v>贴合度未明确</x:v>
      </x:c>
      <x:c r="F16" s="9" t="str">
        <x:v>长裤</x:v>
      </x:c>
      <x:c r="G16" s="9" t="str">
        <x:v>瑜伽九分裤</x:v>
      </x:c>
      <x:c r="H16" s="9" t="str">
        <x:v>女</x:v>
      </x:c>
      <x:c r="I16" s="9" t="str">
        <x:v>【赵露思同款】ALO爱洛｜女士 Airlift Line Up 运动及踝九分裤</x:v>
      </x:c>
      <x:c r="J16" s="9" t="str">
        <x:v>ALO</x:v>
      </x:c>
      <x:c r="K16" s="24" t="n">
        <x:v>1100.09</x:v>
      </x:c>
      <x:c r="L16" s="25" t="e">
        <x:f>HYPERLINK("https://item.taobao.com/item.htm?id=1068111406848","打开商品")</x:f>
        <x:v>HYPERLINK is not implemented. linkLocation=https://item.taobao.com/item.htm?id=1068111406848, friendlyName=打开商品</x:v>
      </x:c>
      <x:c r="M16" s="25" t="e">
        <x:f>HYPERLINK("https://data.zhiyitech.cn/itemDetail/overview/base?itemId=1068111406848","打开知衣")</x:f>
        <x:v>HYPERLINK is not implemented. linkLocation=https://data.zhiyitech.cn/itemDetail/overview/base?itemId=1068111406848, friendlyName=打开知衣</x:v>
      </x:c>
      <x:c r="N16" s="25" t="e">
        <x:f>HYPERLINK("https://img.alicdn.com/bao/uploaded/i1/2222721114226/O1CN01fS2IKxqdPHJ2vH2e_!!4611686018427379826-0-item_pic.jpg","查看主图")</x:f>
        <x:v>HYPERLINK is not implemented. linkLocation=https://img.alicdn.com/bao/uploaded/i1/2222721114226/O1CN01fS2IKxqdPHJ2vH2e_!!4611686018427379826-0-item_pic.jpg, friendlyName=查看主图</x:v>
      </x:c>
      <x:c r="O16" s="9" t="str">
        <x:v>标题及既有类目语义复核；【赵露思同款】ALO爱洛｜女士 Airlift Line Up 运动及踝九分裤；标题明确及踝九分长度，原瑜伽/健身类目提供场景；不以科技名直接推出紧身。</x:v>
      </x:c>
      <x:c r="P16" s="9" t="str">
        <x:v>瑜伽与紧身裤</x:v>
      </x:c>
      <x:c r="Q16" s="9" t="str">
        <x:v>排行榜_商品榜_销售额榜_热销_运动服_休闲服装-健球迷用品-瑜伽长裤_2025-11-01_2026-10-31.xlsx</x:v>
      </x:c>
      <x:c r="R16" s="9" t="str">
        <x:v>默认</x:v>
      </x:c>
      <x:c r="S16" s="9" t="n">
        <x:v>5</x:v>
      </x:c>
      <x:c r="T16" s="9" t="str">
        <x:v>9ea76f5170f1e1701517b21a8e1bac830f6c717f0366f47d4c5cf03c3325c96f</x:v>
      </x:c>
      <x:c r="U16" s="9" t="str">
        <x:v>MIX_YOGA_AVGPAID_1100_1200_ANNUAL2026</x:v>
      </x:c>
      <x:c r="V16" s="9" t="str">
        <x:v>排行榜_商品榜_销售额榜_热销_运动服_休闲服装-健球迷用品-瑜伽长裤_2025-11-01_2026-10-31.xlsx / 默认 / 第5行 / SHA256 9ea76f5170f1e1701517b21a8e1bac830f6c717f0366f47d4c5cf03c3325c96f</x:v>
      </x:c>
    </x:row>
    <x:row r="17" ht="58" customHeight="1">
      <x:c r="A17" s="23" t="str">
        <x:v>1069235531958</x:v>
      </x:c>
      <x:c r="B17" s="22"/>
      <x:c r="C17" s="22"/>
      <x:c r="D17" s="22"/>
      <x:c r="E17" s="9" t="str">
        <x:v>贴合度未明确</x:v>
      </x:c>
      <x:c r="F17" s="9" t="str">
        <x:v>长裤</x:v>
      </x:c>
      <x:c r="G17" s="9" t="str">
        <x:v>瑜伽九分裤</x:v>
      </x:c>
      <x:c r="H17" s="9" t="str">
        <x:v>女</x:v>
      </x:c>
      <x:c r="I17" s="9" t="str">
        <x:v>ALO爱洛｜女士2026秋季 Airlift Rebel 运动拼接及踝高腰九分裤</x:v>
      </x:c>
      <x:c r="J17" s="9" t="str">
        <x:v>ALO</x:v>
      </x:c>
      <x:c r="K17" s="24" t="n">
        <x:v>1101.33</x:v>
      </x:c>
      <x:c r="L17" s="25" t="e">
        <x:f>HYPERLINK("https://item.taobao.com/item.htm?id=1069235531958","打开商品")</x:f>
        <x:v>HYPERLINK is not implemented. linkLocation=https://item.taobao.com/item.htm?id=1069235531958, friendlyName=打开商品</x:v>
      </x:c>
      <x:c r="M17" s="25" t="e">
        <x:f>HYPERLINK("https://data.zhiyitech.cn/itemDetail/overview/base?itemId=1069235531958","打开知衣")</x:f>
        <x:v>HYPERLINK is not implemented. linkLocation=https://data.zhiyitech.cn/itemDetail/overview/base?itemId=1069235531958, friendlyName=打开知衣</x:v>
      </x:c>
      <x:c r="N17" s="25" t="e">
        <x:f>HYPERLINK("https://img.alicdn.com/bao/uploaded/i3/2222721114226/O1CN01RxJAaloYmYJ2vH2e_!!4611686018427379826-0-item_pic.jpg","查看主图")</x:f>
        <x:v>HYPERLINK is not implemented. linkLocation=https://img.alicdn.com/bao/uploaded/i3/2222721114226/O1CN01RxJAaloYmYJ2vH2e_!!4611686018427379826-0-item_pic.jpg, friendlyName=查看主图</x:v>
      </x:c>
      <x:c r="O17" s="9" t="str">
        <x:v>标题及既有类目语义复核；ALO爱洛｜女士2026秋季 Airlift Rebel 运动拼接及踝高腰九分裤；标题明确及踝高腰九分长度，原瑜伽/健身类目提供场景；贴合度仍未知。</x:v>
      </x:c>
      <x:c r="P17" s="9" t="str">
        <x:v>瑜伽与紧身裤</x:v>
      </x:c>
      <x:c r="Q17" s="9" t="str">
        <x:v>排行榜_商品榜_销售额榜_热销_运动服_休闲服装-健球迷用品-瑜伽长裤_2025-11-01_2026-10-31.xlsx</x:v>
      </x:c>
      <x:c r="R17" s="9" t="str">
        <x:v>默认</x:v>
      </x:c>
      <x:c r="S17" s="9" t="n">
        <x:v>15</x:v>
      </x:c>
      <x:c r="T17" s="9" t="str">
        <x:v>9ea76f5170f1e1701517b21a8e1bac830f6c717f0366f47d4c5cf03c3325c96f</x:v>
      </x:c>
      <x:c r="U17" s="9" t="str">
        <x:v>MIX_YOGA_AVGPAID_1100_1200_ANNUAL2026</x:v>
      </x:c>
      <x:c r="V17" s="9" t="str">
        <x:v>排行榜_商品榜_销售额榜_热销_运动服_休闲服装-健球迷用品-瑜伽长裤_2025-11-01_2026-10-31.xlsx / 默认 / 第15行 / SHA256 9ea76f5170f1e1701517b21a8e1bac830f6c717f0366f47d4c5cf03c3325c96f</x:v>
      </x:c>
    </x:row>
    <x:row r="18" ht="58" customHeight="1">
      <x:c r="A18" s="23" t="str">
        <x:v>1070108040547</x:v>
      </x:c>
      <x:c r="B18" s="22"/>
      <x:c r="C18" s="22"/>
      <x:c r="D18" s="22"/>
      <x:c r="E18" s="9" t="str">
        <x:v>贴合度未明确</x:v>
      </x:c>
      <x:c r="F18" s="9" t="str">
        <x:v>长裤</x:v>
      </x:c>
      <x:c r="G18" s="9" t="str">
        <x:v>瑜伽九分裤</x:v>
      </x:c>
      <x:c r="H18" s="9" t="str">
        <x:v>女</x:v>
      </x:c>
      <x:c r="I18" s="9" t="str">
        <x:v>【赵露思同款】ALO爱洛｜女士 Airbrush Better Together 九分裤</x:v>
      </x:c>
      <x:c r="J18" s="9" t="str">
        <x:v>ALO</x:v>
      </x:c>
      <x:c r="K18" s="24" t="n">
        <x:v>1049.56</x:v>
      </x:c>
      <x:c r="L18" s="25" t="e">
        <x:f>HYPERLINK("https://item.taobao.com/item.htm?id=1070108040547","打开商品")</x:f>
        <x:v>HYPERLINK is not implemented. linkLocation=https://item.taobao.com/item.htm?id=1070108040547, friendlyName=打开商品</x:v>
      </x:c>
      <x:c r="M18" s="25" t="e">
        <x:f>HYPERLINK("https://data.zhiyitech.cn/itemDetail/overview/base?itemId=1070108040547","打开知衣")</x:f>
        <x:v>HYPERLINK is not implemented. linkLocation=https://data.zhiyitech.cn/itemDetail/overview/base?itemId=1070108040547, friendlyName=打开知衣</x:v>
      </x:c>
      <x:c r="N18" s="25" t="e">
        <x:f>HYPERLINK("https://img.alicdn.com/bao/uploaded/i4/2222721114226/O1CN01v7jBEKk7s8I2vH2e_!!4611686018427379826-0-item_pic.jpg","查看主图")</x:f>
        <x:v>HYPERLINK is not implemented. linkLocation=https://img.alicdn.com/bao/uploaded/i4/2222721114226/O1CN01v7jBEKk7s8I2vH2e_!!4611686018427379826-0-item_pic.jpg, friendlyName=查看主图</x:v>
      </x:c>
      <x:c r="O18" s="9" t="str">
        <x:v>标题及既有类目语义复核；【赵露思同款】ALO爱洛｜女士 Airbrush Better Together 九分裤；标题明确九分长度，原瑜伽/健身类目提供场景；不以科技名直接推出紧身。</x:v>
      </x:c>
      <x:c r="P18" s="9" t="str">
        <x:v>瑜伽与紧身裤</x:v>
      </x:c>
      <x:c r="Q18" s="9" t="str">
        <x:v>排行榜_商品榜_销售额榜_热销_运动服_休闲服装-健球迷用品-瑜伽长裤_2025-11-01_2026-10-31 (1).xlsx</x:v>
      </x:c>
      <x:c r="R18" s="9" t="str">
        <x:v>默认</x:v>
      </x:c>
      <x:c r="S18" s="9" t="n">
        <x:v>11</x:v>
      </x:c>
      <x:c r="T18" s="9" t="str">
        <x:v>2f8153ab6684edaf11ad1e0b4213464d0406cf17631a49517fd66283c0781a23</x:v>
      </x:c>
      <x:c r="U18" s="9" t="str">
        <x:v>MIX_YOGA_AVGPAID_1000_1100_ANNUAL2026</x:v>
      </x:c>
      <x:c r="V18" s="9" t="str">
        <x:v>排行榜_商品榜_销售额榜_热销_运动服_休闲服装-健球迷用品-瑜伽长裤_2025-11-01_2026-10-31 (1).xlsx / 默认 / 第11行 / SHA256 2f8153ab6684edaf11ad1e0b4213464d0406cf17631a49517fd66283c0781a23</x:v>
      </x:c>
    </x:row>
    <x:row r="19" ht="58" customHeight="1">
      <x:c r="A19" s="23" t="str">
        <x:v>1083921035161</x:v>
      </x:c>
      <x:c r="B19" s="22"/>
      <x:c r="C19" s="22"/>
      <x:c r="D19" s="22"/>
      <x:c r="E19" s="9" t="str">
        <x:v>贴合度未明确</x:v>
      </x:c>
      <x:c r="F19" s="9" t="str">
        <x:v>长裤</x:v>
      </x:c>
      <x:c r="G19" s="9" t="str">
        <x:v>瑜伽九分裤</x:v>
      </x:c>
      <x:c r="H19" s="9" t="str">
        <x:v>女</x:v>
      </x:c>
      <x:c r="I19" s="9" t="str">
        <x:v>ALO爱洛｜女士2026秋季 Airlift Rebel 运动拼接及踝高腰九分裤</x:v>
      </x:c>
      <x:c r="J19" s="9" t="str">
        <x:v>ALO</x:v>
      </x:c>
      <x:c r="K19" s="24" t="n">
        <x:v>1100.86</x:v>
      </x:c>
      <x:c r="L19" s="25" t="e">
        <x:f>HYPERLINK("https://item.taobao.com/item.htm?id=1083921035161","打开商品")</x:f>
        <x:v>HYPERLINK is not implemented. linkLocation=https://item.taobao.com/item.htm?id=1083921035161, friendlyName=打开商品</x:v>
      </x:c>
      <x:c r="M19" s="25" t="e">
        <x:f>HYPERLINK("https://data.zhiyitech.cn/itemDetail/overview/base?itemId=1083921035161","打开知衣")</x:f>
        <x:v>HYPERLINK is not implemented. linkLocation=https://data.zhiyitech.cn/itemDetail/overview/base?itemId=1083921035161, friendlyName=打开知衣</x:v>
      </x:c>
      <x:c r="N19" s="25" t="e">
        <x:f>HYPERLINK("https://img.alicdn.com/bao/uploaded/i1/2222721114226/O1CN01QNG9t5izLQC2vH2e_!!4611686018427379826-0-item_pic.jpg","查看主图")</x:f>
        <x:v>HYPERLINK is not implemented. linkLocation=https://img.alicdn.com/bao/uploaded/i1/2222721114226/O1CN01QNG9t5izLQC2vH2e_!!4611686018427379826-0-item_pic.jpg, friendlyName=查看主图</x:v>
      </x:c>
      <x:c r="O19" s="9" t="str">
        <x:v>标题及既有类目语义复核；ALO爱洛｜女士2026秋季 Airlift Rebel 运动拼接及踝高腰九分裤；标题明确及踝高腰九分长度，原瑜伽/健身类目提供场景；贴合度仍未知。</x:v>
      </x:c>
      <x:c r="P19" s="9" t="str">
        <x:v>瑜伽与紧身裤</x:v>
      </x:c>
      <x:c r="Q19" s="9" t="str">
        <x:v>排行榜_商品榜_销售额榜_热销_运动服_休闲服装-健球迷用品-瑜伽长裤_2025-11-01_2026-10-31.xlsx</x:v>
      </x:c>
      <x:c r="R19" s="9" t="str">
        <x:v>默认</x:v>
      </x:c>
      <x:c r="S19" s="9" t="n">
        <x:v>21</x:v>
      </x:c>
      <x:c r="T19" s="9" t="str">
        <x:v>9ea76f5170f1e1701517b21a8e1bac830f6c717f0366f47d4c5cf03c3325c96f</x:v>
      </x:c>
      <x:c r="U19" s="9" t="str">
        <x:v>MIX_YOGA_AVGPAID_1100_1200_ANNUAL2026</x:v>
      </x:c>
      <x:c r="V19" s="9" t="str">
        <x:v>排行榜_商品榜_销售额榜_热销_运动服_休闲服装-健球迷用品-瑜伽长裤_2025-11-01_2026-10-31.xlsx / 默认 / 第21行 / SHA256 9ea76f5170f1e1701517b21a8e1bac830f6c717f0366f47d4c5cf03c3325c96f</x:v>
      </x:c>
    </x:row>
    <x:row r="20" ht="58" customHeight="1">
      <x:c r="A20" s="23" t="str">
        <x:v>737673929011</x:v>
      </x:c>
      <x:c r="B20" s="22"/>
      <x:c r="C20" s="22"/>
      <x:c r="D20" s="22"/>
      <x:c r="E20" s="9" t="str">
        <x:v>贴合度未明确</x:v>
      </x:c>
      <x:c r="F20" s="9" t="str">
        <x:v>长裤</x:v>
      </x:c>
      <x:c r="G20" s="9" t="str">
        <x:v>瑜伽长裤</x:v>
      </x:c>
      <x:c r="H20" s="9" t="str">
        <x:v>女</x:v>
      </x:c>
      <x:c r="I20" s="9" t="str">
        <x:v>ANNA SUI安娜苏运动  探索系列 暖棉拼接弹力抽绳瑜伽长裤3A抗菌</x:v>
      </x:c>
      <x:c r="J20" s="9" t="str">
        <x:v>ANNA SUI/安娜苏</x:v>
      </x:c>
      <x:c r="K20" s="24" t="n">
        <x:v>959.2</x:v>
      </x:c>
      <x:c r="L20" s="25" t="e">
        <x:f>HYPERLINK("https://item.taobao.com/item.htm?id=737673929011","打开商品")</x:f>
        <x:v>HYPERLINK is not implemented. linkLocation=https://item.taobao.com/item.htm?id=737673929011, friendlyName=打开商品</x:v>
      </x:c>
      <x:c r="M20" s="25" t="e">
        <x:f>HYPERLINK("https://data.zhiyitech.cn/itemDetail/overview/base?itemId=737673929011","打开知衣")</x:f>
        <x:v>HYPERLINK is not implemented. linkLocation=https://data.zhiyitech.cn/itemDetail/overview/base?itemId=737673929011, friendlyName=打开知衣</x:v>
      </x:c>
      <x:c r="N20" s="25" t="e">
        <x:f>HYPERLINK("https://img.alicdn.com/bao/uploaded/i1/2200697069868/O1CN01GN93pn2MlbTOwJfY1_!!2200697069868.jpg","查看主图")</x:f>
        <x:v>HYPERLINK is not implemented. linkLocation=https://img.alicdn.com/bao/uploaded/i1/2200697069868/O1CN01GN93pn2MlbTOwJfY1_!!2200697069868.jpg, friendlyName=查看主图</x:v>
      </x:c>
      <x:c r="O20" s="9" t="str">
        <x:v>标题及既有类目语义复核；ANNA SUI安娜苏运动  探索系列 暖棉拼接弹力抽绳瑜伽长裤3A抗菌；标题及原类目明确瑜伽/健身长裤，但无足够贴合度证据；按瑜伽长裤展示，不强归legging。</x:v>
      </x:c>
      <x:c r="P20" s="9" t="str">
        <x:v>瑜伽与紧身裤</x:v>
      </x:c>
      <x:c r="Q20" s="9" t="str">
        <x:v>排行榜_商品榜_销售额榜_热销_运动服_休闲服装-健球迷用品-瑜伽长裤_2025-11-01_2026-10-31 (2).xlsx</x:v>
      </x:c>
      <x:c r="R20" s="9" t="str">
        <x:v>默认</x:v>
      </x:c>
      <x:c r="S20" s="9" t="n">
        <x:v>136</x:v>
      </x:c>
      <x:c r="T20" s="9" t="str">
        <x:v>8cddb74b4b42ab56f275f05c92c7c706c83ff40bffff2914c8d64de594e32d80</x:v>
      </x:c>
      <x:c r="U20" s="9" t="str">
        <x:v>MIX_YOGA_AVGPAID_900_1000_ANNUAL2026</x:v>
      </x:c>
      <x:c r="V20" s="9" t="str">
        <x:v>排行榜_商品榜_销售额榜_热销_运动服_休闲服装-健球迷用品-瑜伽长裤_2025-11-01_2026-10-31 (2).xlsx / 默认 / 第136行 / SHA256 8cddb74b4b42ab56f275f05c92c7c706c83ff40bffff2914c8d64de594e32d80</x:v>
      </x:c>
    </x:row>
    <x:row r="21" ht="58" customHeight="1">
      <x:c r="A21" s="23" t="str">
        <x:v>920488923096</x:v>
      </x:c>
      <x:c r="B21" s="22"/>
      <x:c r="C21" s="22"/>
      <x:c r="D21" s="22"/>
      <x:c r="E21" s="9" t="str">
        <x:v>贴合度未明确</x:v>
      </x:c>
      <x:c r="F21" s="9" t="str">
        <x:v>长裤</x:v>
      </x:c>
      <x:c r="G21" s="9" t="str">
        <x:v>瑜伽塑身长裤</x:v>
      </x:c>
      <x:c r="H21" s="9" t="str">
        <x:v>女</x:v>
      </x:c>
      <x:c r="I21" s="9" t="str">
        <x:v>BE范德安2026 女士健身运动显瘦塑身瑜珈裤弹力修身休闲运动</x:v>
      </x:c>
      <x:c r="J21" s="9" t="str">
        <x:v>BALNEAIRE/范德安</x:v>
      </x:c>
      <x:c r="K21" s="24" t="n">
        <x:v>1000.1</x:v>
      </x:c>
      <x:c r="L21" s="25" t="e">
        <x:f>HYPERLINK("https://item.taobao.com/item.htm?id=920488923096","打开商品")</x:f>
        <x:v>HYPERLINK is not implemented. linkLocation=https://item.taobao.com/item.htm?id=920488923096, friendlyName=打开商品</x:v>
      </x:c>
      <x:c r="M21" s="25" t="e">
        <x:f>HYPERLINK("https://data.zhiyitech.cn/itemDetail/overview/base?itemId=920488923096","打开知衣")</x:f>
        <x:v>HYPERLINK is not implemented. linkLocation=https://data.zhiyitech.cn/itemDetail/overview/base?itemId=920488923096, friendlyName=打开知衣</x:v>
      </x:c>
      <x:c r="N21" s="25" t="e">
        <x:f>HYPERLINK("https://img.alicdn.com/bao/uploaded/i4/730250365/O1CN01XoEP8R1EZDhhg55Ku_!!730250365.jpg","查看主图")</x:f>
        <x:v>HYPERLINK is not implemented. linkLocation=https://img.alicdn.com/bao/uploaded/i4/730250365/O1CN01XoEP8R1EZDhhg55Ku_!!730250365.jpg, friendlyName=查看主图</x:v>
      </x:c>
      <x:c r="O21" s="9" t="str">
        <x:v>标题及既有类目语义复核；BE范德安2026 女士健身运动显瘦塑身瑜珈裤弹力修身休闲运动；可确定瑜伽塑身修身用途，修身不必然紧身，故不冒充legging；贴合度仍未知。</x:v>
      </x:c>
      <x:c r="P21" s="9" t="str">
        <x:v>瑜伽与紧身裤</x:v>
      </x:c>
      <x:c r="Q21" s="9" t="str">
        <x:v>排行榜_商品榜_销售额榜_热销_运动服_休闲服装-健球迷用品-瑜伽长裤_2025-11-01_2026-10-31 (1).xlsx</x:v>
      </x:c>
      <x:c r="R21" s="9" t="str">
        <x:v>默认</x:v>
      </x:c>
      <x:c r="S21" s="9" t="n">
        <x:v>141</x:v>
      </x:c>
      <x:c r="T21" s="9" t="str">
        <x:v>2f8153ab6684edaf11ad1e0b4213464d0406cf17631a49517fd66283c0781a23</x:v>
      </x:c>
      <x:c r="U21" s="9" t="str">
        <x:v>MIX_YOGA_AVGPAID_1000_1100_ANNUAL2026</x:v>
      </x:c>
      <x:c r="V21" s="9" t="str">
        <x:v>排行榜_商品榜_销售额榜_热销_运动服_休闲服装-健球迷用品-瑜伽长裤_2025-11-01_2026-10-31 (1).xlsx / 默认 / 第141行 / SHA256 2f8153ab6684edaf11ad1e0b4213464d0406cf17631a49517fd66283c0781a23</x:v>
      </x:c>
    </x:row>
    <x:row r="22" ht="58" customHeight="1">
      <x:c r="A22" s="23" t="str">
        <x:v>1044308207420</x:v>
      </x:c>
      <x:c r="B22" s="22"/>
      <x:c r="C22" s="22"/>
      <x:c r="D22" s="22"/>
      <x:c r="E22" s="9" t="str">
        <x:v>贴合度未明确</x:v>
      </x:c>
      <x:c r="F22" s="9" t="str">
        <x:v>长裤</x:v>
      </x:c>
      <x:c r="G22" s="9" t="str">
        <x:v>瑜伽修身长裤</x:v>
      </x:c>
      <x:c r="H22" s="9" t="str">
        <x:v>女</x:v>
      </x:c>
      <x:c r="I22" s="9" t="str">
        <x:v>lulu ilertb裸感瑜珈裤女2026年夏季裸感外穿提臀修身运动健身裤</x:v>
      </x:c>
      <x:c r="J22" s="9" t="str">
        <x:v>LULU ILERTB</x:v>
      </x:c>
      <x:c r="K22" s="24" t="n">
        <x:v>1166</x:v>
      </x:c>
      <x:c r="L22" s="25" t="e">
        <x:f>HYPERLINK("https://item.taobao.com/item.htm?id=1044308207420","打开商品")</x:f>
        <x:v>HYPERLINK is not implemented. linkLocation=https://item.taobao.com/item.htm?id=1044308207420, friendlyName=打开商品</x:v>
      </x:c>
      <x:c r="M22" s="25" t="e">
        <x:f>HYPERLINK("https://data.zhiyitech.cn/itemDetail/overview/base?itemId=1044308207420","打开知衣")</x:f>
        <x:v>HYPERLINK is not implemented. linkLocation=https://data.zhiyitech.cn/itemDetail/overview/base?itemId=1044308207420, friendlyName=打开知衣</x:v>
      </x:c>
      <x:c r="N22" s="25" t="e">
        <x:f>HYPERLINK("https://img.alicdn.com/bao/uploaded/i4/2219201005181/O1CN01PuVmIY1o8x9VegnW9_!!4611686018427381373-0-item_pic.jpg","查看主图")</x:f>
        <x:v>HYPERLINK is not implemented. linkLocation=https://img.alicdn.com/bao/uploaded/i4/2219201005181/O1CN01PuVmIY1o8x9VegnW9_!!4611686018427381373-0-item_pic.jpg, friendlyName=查看主图</x:v>
      </x:c>
      <x:c r="O22" s="9" t="str">
        <x:v>标题及既有类目语义复核；lulu ilertb裸感瑜珈裤女2026年夏季裸感外穿提臀修身运动健身裤；标题说明修身瑜伽用途，修身不等于紧身，保留贴合度细项未知。</x:v>
      </x:c>
      <x:c r="P22" s="9" t="str">
        <x:v>瑜伽与紧身裤</x:v>
      </x:c>
      <x:c r="Q22" s="9" t="str">
        <x:v>排行榜_商品榜_销售额榜_热销_运动服_休闲服装-健球迷用品-瑜伽长裤_2025-11-01_2026-10-31.xlsx</x:v>
      </x:c>
      <x:c r="R22" s="9" t="str">
        <x:v>默认</x:v>
      </x:c>
      <x:c r="S22" s="9" t="n">
        <x:v>23</x:v>
      </x:c>
      <x:c r="T22" s="9" t="str">
        <x:v>9ea76f5170f1e1701517b21a8e1bac830f6c717f0366f47d4c5cf03c3325c96f</x:v>
      </x:c>
      <x:c r="U22" s="9" t="str">
        <x:v>MIX_YOGA_AVGPAID_1100_1200_ANNUAL2026</x:v>
      </x:c>
      <x:c r="V22" s="9" t="str">
        <x:v>排行榜_商品榜_销售额榜_热销_运动服_休闲服装-健球迷用品-瑜伽长裤_2025-11-01_2026-10-31.xlsx / 默认 / 第23行 / SHA256 9ea76f5170f1e1701517b21a8e1bac830f6c717f0366f47d4c5cf03c3325c96f</x:v>
      </x:c>
    </x:row>
    <x:row r="23" ht="58" customHeight="1">
      <x:c r="A23" s="23" t="str">
        <x:v>986443878151</x:v>
      </x:c>
      <x:c r="B23" s="22"/>
      <x:c r="C23" s="22"/>
      <x:c r="D23" s="22"/>
      <x:c r="E23" s="9" t="str">
        <x:v>贴合度未明确</x:v>
      </x:c>
      <x:c r="F23" s="9" t="str">
        <x:v>长裤</x:v>
      </x:c>
      <x:c r="G23" s="9" t="str">
        <x:v>打底长裤</x:v>
      </x:c>
      <x:c r="H23" s="9" t="str">
        <x:v>女</x:v>
      </x:c>
      <x:c r="I23" s="9" t="str">
        <x:v>THEEASE 舒适派【精纺系列】68支精纺纯山羊绒打底裤冬季保暖裤女</x:v>
      </x:c>
      <x:c r="J23" s="9" t="str">
        <x:v>THE EASE</x:v>
      </x:c>
      <x:c r="K23" s="24" t="n">
        <x:v>950.44</x:v>
      </x:c>
      <x:c r="L23" s="25" t="e">
        <x:f>HYPERLINK("https://item.taobao.com/item.htm?id=986443878151","打开商品")</x:f>
        <x:v>HYPERLINK is not implemented. linkLocation=https://item.taobao.com/item.htm?id=986443878151, friendlyName=打开商品</x:v>
      </x:c>
      <x:c r="M23" s="25" t="e">
        <x:f>HYPERLINK("https://data.zhiyitech.cn/itemDetail/overview/base?itemId=986443878151","打开知衣")</x:f>
        <x:v>HYPERLINK is not implemented. linkLocation=https://data.zhiyitech.cn/itemDetail/overview/base?itemId=986443878151, friendlyName=打开知衣</x:v>
      </x:c>
      <x:c r="N23" s="25" t="e">
        <x:f>HYPERLINK("https://img.alicdn.com/i2/2214159414826/O1CN0117YGGj1lWMVjGQFKO_!!2214159414826.jpg","查看主图")</x:f>
        <x:v>HYPERLINK is not implemented. linkLocation=https://img.alicdn.com/i2/2214159414826/O1CN0117YGGj1lWMVjGQFKO_!!2214159414826.jpg, friendlyName=查看主图</x:v>
      </x:c>
      <x:c r="O23" s="9" t="str">
        <x:v>标题及既有类目语义复核；THEEASE 舒适派【精纺系列】68支精纺纯山羊绒打底裤冬季保暖裤女；标题及普通服装来源显示打底/内搭裤，未提供瑜伽用途或紧身证据；按已知内搭长裤展示，贴合度保留未知。</x:v>
      </x:c>
      <x:c r="P23" s="9" t="str">
        <x:v>普通男女装</x:v>
      </x:c>
      <x:c r="Q23" s="9" t="str">
        <x:v>W_LEGGINGS_AVGPAID_900_1000_ANNUAL2026.xlsx</x:v>
      </x:c>
      <x:c r="R23" s="9" t="str">
        <x:v>默认</x:v>
      </x:c>
      <x:c r="S23" s="9" t="n">
        <x:v>17</x:v>
      </x:c>
      <x:c r="T23" s="9" t="str">
        <x:v>44248e7a1cd2c7ffa97ace3220c7a10533144ffb18c92cad74b013fe24339819</x:v>
      </x:c>
      <x:c r="U23" s="9" t="str">
        <x:v>W_LEGGINGS_AVGPAID_900_1000_ANNUAL2026</x:v>
      </x:c>
      <x:c r="V23" s="9" t="str">
        <x:v>W_LEGGINGS_AVGPAID_900_1000_ANNUAL2026.xlsx / 默认 / 第17行 / SHA256 44248e7a1cd2c7ffa97ace3220c7a10533144ffb18c92cad74b013fe24339819</x:v>
      </x:c>
    </x:row>
    <x:row r="24" ht="58" customHeight="1">
      <x:c r="A24" s="23" t="str">
        <x:v>1011795323843</x:v>
      </x:c>
      <x:c r="B24" s="22"/>
      <x:c r="C24" s="22"/>
      <x:c r="D24" s="22"/>
      <x:c r="E24" s="9" t="str">
        <x:v>贴合度未明确</x:v>
      </x:c>
      <x:c r="F24" s="9" t="str">
        <x:v>长裤</x:v>
      </x:c>
      <x:c r="G24" s="9" t="str">
        <x:v>假两件瑜伽长裤</x:v>
      </x:c>
      <x:c r="H24" s="9" t="str">
        <x:v>女</x:v>
      </x:c>
      <x:c r="I24" s="9" t="str">
        <x:v>tveetybird新年红加绒假两件高腰提臀健身裤女秋冬瑜伽运动健身裤</x:v>
      </x:c>
      <x:c r="J24" s="9" t="str">
        <x:v>TVEETYBIRD</x:v>
      </x:c>
      <x:c r="K24" s="24" t="n">
        <x:v>943.71</x:v>
      </x:c>
      <x:c r="L24" s="25" t="e">
        <x:f>HYPERLINK("https://item.taobao.com/item.htm?id=1011795323843","打开商品")</x:f>
        <x:v>HYPERLINK is not implemented. linkLocation=https://item.taobao.com/item.htm?id=1011795323843, friendlyName=打开商品</x:v>
      </x:c>
      <x:c r="M24" s="25" t="e">
        <x:f>HYPERLINK("https://data.zhiyitech.cn/itemDetail/overview/base?itemId=1011795323843","打开知衣")</x:f>
        <x:v>HYPERLINK is not implemented. linkLocation=https://data.zhiyitech.cn/itemDetail/overview/base?itemId=1011795323843, friendlyName=打开知衣</x:v>
      </x:c>
      <x:c r="N24" s="25" t="e">
        <x:f>HYPERLINK("https://img.alicdn.com/bao/uploaded/i1/3440850811/O1CN01EaoK7g1HrUKLCVkcY_!!4611686018427385723-0-item_pic.jpg","查看主图")</x:f>
        <x:v>HYPERLINK is not implemented. linkLocation=https://img.alicdn.com/bao/uploaded/i1/3440850811/O1CN01EaoK7g1HrUKLCVkcY_!!4611686018427385723-0-item_pic.jpg, friendlyName=查看主图</x:v>
      </x:c>
      <x:c r="O24" s="9" t="str">
        <x:v>标题及既有类目语义复核；tveetybird新年红加绒假两件高腰提臀健身裤女秋冬瑜伽运动健身裤；标题明确假两件健身瑜伽裤，但提臀不证明全腿紧身。</x:v>
      </x:c>
      <x:c r="P24" s="9" t="str">
        <x:v>瑜伽与紧身裤</x:v>
      </x:c>
      <x:c r="Q24" s="9" t="str">
        <x:v>排行榜_商品榜_销售额榜_热销_运动服_休闲服装-健球迷用品-瑜伽长裤_2025-11-01_2026-10-31 (2).xlsx</x:v>
      </x:c>
      <x:c r="R24" s="9" t="str">
        <x:v>默认</x:v>
      </x:c>
      <x:c r="S24" s="9" t="n">
        <x:v>123</x:v>
      </x:c>
      <x:c r="T24" s="9" t="str">
        <x:v>8cddb74b4b42ab56f275f05c92c7c706c83ff40bffff2914c8d64de594e32d80</x:v>
      </x:c>
      <x:c r="U24" s="9" t="str">
        <x:v>MIX_YOGA_AVGPAID_900_1000_ANNUAL2026</x:v>
      </x:c>
      <x:c r="V24" s="9" t="str">
        <x:v>排行榜_商品榜_销售额榜_热销_运动服_休闲服装-健球迷用品-瑜伽长裤_2025-11-01_2026-10-31 (2).xlsx / 默认 / 第123行 / SHA256 8cddb74b4b42ab56f275f05c92c7c706c83ff40bffff2914c8d64de594e32d80</x:v>
      </x:c>
    </x:row>
    <x:row r="25" ht="58" customHeight="1">
      <x:c r="A25" s="23" t="str">
        <x:v>757408163406</x:v>
      </x:c>
      <x:c r="B25" s="22"/>
      <x:c r="C25" s="22"/>
      <x:c r="D25" s="22"/>
      <x:c r="E25" s="9" t="str">
        <x:v>贴合度未明确</x:v>
      </x:c>
      <x:c r="F25" s="9" t="str">
        <x:v>长裤</x:v>
      </x:c>
      <x:c r="G25" s="9" t="str">
        <x:v>瑜伽长裤</x:v>
      </x:c>
      <x:c r="H25" s="9" t="str">
        <x:v>女</x:v>
      </x:c>
      <x:c r="I25" s="9" t="str">
        <x:v>加绒瑜伽裤女冬季2023新款保暖蓄热透气运动长裤外穿高腰健身裤</x:v>
      </x:c>
      <x:c r="J25" s="9" t="str">
        <x:v>TVEETYBIRD</x:v>
      </x:c>
      <x:c r="K25" s="24" t="n">
        <x:v>907.24</x:v>
      </x:c>
      <x:c r="L25" s="25" t="e">
        <x:f>HYPERLINK("https://item.taobao.com/item.htm?id=757408163406","打开商品")</x:f>
        <x:v>HYPERLINK is not implemented. linkLocation=https://item.taobao.com/item.htm?id=757408163406, friendlyName=打开商品</x:v>
      </x:c>
      <x:c r="M25" s="25" t="e">
        <x:f>HYPERLINK("https://data.zhiyitech.cn/itemDetail/overview/base?itemId=757408163406","打开知衣")</x:f>
        <x:v>HYPERLINK is not implemented. linkLocation=https://data.zhiyitech.cn/itemDetail/overview/base?itemId=757408163406, friendlyName=打开知衣</x:v>
      </x:c>
      <x:c r="N25" s="25" t="e">
        <x:f>HYPERLINK("https://img.alicdn.com/bao/uploaded/i3/3440850811/O1CN01fbAyPQ1HrU7S1jscf_!!0-item_pic.jpg","查看主图")</x:f>
        <x:v>HYPERLINK is not implemented. linkLocation=https://img.alicdn.com/bao/uploaded/i3/3440850811/O1CN01fbAyPQ1HrU7S1jscf_!!0-item_pic.jpg, friendlyName=查看主图</x:v>
      </x:c>
      <x:c r="O25" s="9" t="str">
        <x:v>标题及既有类目语义复核；加绒瑜伽裤女冬季2023新款保暖蓄热透气运动长裤外穿高腰健身裤；标题及原类目明确瑜伽/健身长裤，但无足够贴合度证据；按瑜伽长裤展示，不强归legging。</x:v>
      </x:c>
      <x:c r="P25" s="9" t="str">
        <x:v>瑜伽与紧身裤</x:v>
      </x:c>
      <x:c r="Q25" s="9" t="str">
        <x:v>排行榜_商品榜_销售额榜_热销_运动服_休闲服装-健球迷用品-瑜伽长裤_2025-11-01_2026-10-31 (2).xlsx</x:v>
      </x:c>
      <x:c r="R25" s="9" t="str">
        <x:v>默认</x:v>
      </x:c>
      <x:c r="S25" s="9" t="n">
        <x:v>145</x:v>
      </x:c>
      <x:c r="T25" s="9" t="str">
        <x:v>8cddb74b4b42ab56f275f05c92c7c706c83ff40bffff2914c8d64de594e32d80</x:v>
      </x:c>
      <x:c r="U25" s="9" t="str">
        <x:v>MIX_YOGA_AVGPAID_900_1000_ANNUAL2026</x:v>
      </x:c>
      <x:c r="V25" s="9" t="str">
        <x:v>排行榜_商品榜_销售额榜_热销_运动服_休闲服装-健球迷用品-瑜伽长裤_2025-11-01_2026-10-31 (2).xlsx / 默认 / 第145行 / SHA256 8cddb74b4b42ab56f275f05c92c7c706c83ff40bffff2914c8d64de594e32d80</x:v>
      </x:c>
    </x:row>
    <x:row r="26" ht="58" customHeight="1">
      <x:c r="A26" s="23" t="str">
        <x:v>1090591144132</x:v>
      </x:c>
      <x:c r="B26" s="22"/>
      <x:c r="C26" s="22"/>
      <x:c r="D26" s="22"/>
      <x:c r="E26" s="9" t="str">
        <x:v>贴合度未明确</x:v>
      </x:c>
      <x:c r="F26" s="9" t="str">
        <x:v>长裤</x:v>
      </x:c>
      <x:c r="G26" s="9" t="str">
        <x:v>束脚瑜伽长裤</x:v>
      </x:c>
      <x:c r="H26" s="9" t="str">
        <x:v>女</x:v>
      </x:c>
      <x:c r="I26" s="9" t="str">
        <x:v>维多利亚束脚速干透气瑜伽裤女</x:v>
      </x:c>
      <x:c r="J26" s="9" t="str">
        <x:v>VLDOLIYA</x:v>
      </x:c>
      <x:c r="K26" s="24" t="n">
        <x:v>985.41</x:v>
      </x:c>
      <x:c r="L26" s="25" t="e">
        <x:f>HYPERLINK("https://item.taobao.com/item.htm?id=1090591144132","打开商品")</x:f>
        <x:v>HYPERLINK is not implemented. linkLocation=https://item.taobao.com/item.htm?id=1090591144132, friendlyName=打开商品</x:v>
      </x:c>
      <x:c r="M26" s="25" t="e">
        <x:f>HYPERLINK("https://data.zhiyitech.cn/itemDetail/overview/base?itemId=1090591144132","打开知衣")</x:f>
        <x:v>HYPERLINK is not implemented. linkLocation=https://data.zhiyitech.cn/itemDetail/overview/base?itemId=1090591144132, friendlyName=打开知衣</x:v>
      </x:c>
      <x:c r="N26" s="25" t="e">
        <x:f>HYPERLINK("https://img.alicdn.com/bao/uploaded/i3/186877479/O1CN01aPuSc6AfrhK37MJM_!!186877479.jpg","查看主图")</x:f>
        <x:v>HYPERLINK is not implemented. linkLocation=https://img.alicdn.com/bao/uploaded/i3/186877479/O1CN01aPuSc6AfrhK37MJM_!!186877479.jpg, friendlyName=查看主图</x:v>
      </x:c>
      <x:c r="O26" s="9" t="str">
        <x:v>标题及既有类目语义复核；维多利亚束脚速干透气瑜伽裤女；标题明确束脚瑜伽裤，束脚不等于紧身；保留整体贴合度未知。</x:v>
      </x:c>
      <x:c r="P26" s="9" t="str">
        <x:v>瑜伽与紧身裤</x:v>
      </x:c>
      <x:c r="Q26" s="9" t="str">
        <x:v>排行榜_商品榜_销售额榜_热销_运动服_休闲服装-健球迷用品-瑜伽长裤_2025-11-01_2026-10-31 (2).xlsx</x:v>
      </x:c>
      <x:c r="R26" s="9" t="str">
        <x:v>默认</x:v>
      </x:c>
      <x:c r="S26" s="9" t="n">
        <x:v>110</x:v>
      </x:c>
      <x:c r="T26" s="9" t="str">
        <x:v>8cddb74b4b42ab56f275f05c92c7c706c83ff40bffff2914c8d64de594e32d80</x:v>
      </x:c>
      <x:c r="U26" s="9" t="str">
        <x:v>MIX_YOGA_AVGPAID_900_1000_ANNUAL2026</x:v>
      </x:c>
      <x:c r="V26" s="9" t="str">
        <x:v>排行榜_商品榜_销售额榜_热销_运动服_休闲服装-健球迷用品-瑜伽长裤_2025-11-01_2026-10-31 (2).xlsx / 默认 / 第110行 / SHA256 8cddb74b4b42ab56f275f05c92c7c706c83ff40bffff2914c8d64de594e32d80</x:v>
      </x:c>
    </x:row>
    <x:row r="27" ht="58" customHeight="1">
      <x:c r="A27" s="23" t="str">
        <x:v>1046006701728</x:v>
      </x:c>
      <x:c r="B27" s="22"/>
      <x:c r="C27" s="22"/>
      <x:c r="D27" s="22"/>
      <x:c r="E27" s="9" t="str">
        <x:v>贴合度未明确</x:v>
      </x:c>
      <x:c r="F27" s="9" t="str">
        <x:v>长裤</x:v>
      </x:c>
      <x:c r="G27" s="9" t="str">
        <x:v>瑜伽七分裤</x:v>
      </x:c>
      <x:c r="H27" s="9" t="str">
        <x:v>女</x:v>
      </x:c>
      <x:c r="I27" s="9" t="str">
        <x:v>Vuori飞奥力女士瑜伽七分裤</x:v>
      </x:c>
      <x:c r="J27" s="9" t="str">
        <x:v>VUORI</x:v>
      </x:c>
      <x:c r="K27" s="24" t="n">
        <x:v>962.27</x:v>
      </x:c>
      <x:c r="L27" s="25" t="e">
        <x:f>HYPERLINK("https://item.taobao.com/item.htm?id=1046006701728","打开商品")</x:f>
        <x:v>HYPERLINK is not implemented. linkLocation=https://item.taobao.com/item.htm?id=1046006701728, friendlyName=打开商品</x:v>
      </x:c>
      <x:c r="M27" s="25" t="e">
        <x:f>HYPERLINK("https://data.zhiyitech.cn/itemDetail/overview/base?itemId=1046006701728","打开知衣")</x:f>
        <x:v>HYPERLINK is not implemented. linkLocation=https://data.zhiyitech.cn/itemDetail/overview/base?itemId=1046006701728, friendlyName=打开知衣</x:v>
      </x:c>
      <x:c r="N27" s="25" t="e">
        <x:f>HYPERLINK("https://img.alicdn.com/bao/uploaded/i4/2214593356086/O1CN011nAHu7cUvqI2R3rs_!!4611686018427380022-0-item_pic.jpg","查看主图")</x:f>
        <x:v>HYPERLINK is not implemented. linkLocation=https://img.alicdn.com/bao/uploaded/i4/2214593356086/O1CN011nAHu7cUvqI2R3rs_!!4611686018427380022-0-item_pic.jpg, friendlyName=查看主图</x:v>
      </x:c>
      <x:c r="O27" s="9" t="str">
        <x:v>标题及既有类目语义复核；Vuori飞奥力女士瑜伽七分裤；标题明确七分长度；瑜伽类目不自动表示legging，贴合度仍未知。</x:v>
      </x:c>
      <x:c r="P27" s="9" t="str">
        <x:v>瑜伽与紧身裤</x:v>
      </x:c>
      <x:c r="Q27" s="9" t="str">
        <x:v>排行榜_商品榜_销售额榜_热销_运动服_休闲服装-健球迷用品-瑜伽长裤_2025-11-01_2026-10-31 (2).xlsx</x:v>
      </x:c>
      <x:c r="R27" s="9" t="str">
        <x:v>默认</x:v>
      </x:c>
      <x:c r="S27" s="9" t="n">
        <x:v>102</x:v>
      </x:c>
      <x:c r="T27" s="9" t="str">
        <x:v>8cddb74b4b42ab56f275f05c92c7c706c83ff40bffff2914c8d64de594e32d80</x:v>
      </x:c>
      <x:c r="U27" s="9" t="str">
        <x:v>MIX_YOGA_AVGPAID_900_1000_ANNUAL2026</x:v>
      </x:c>
      <x:c r="V27" s="9" t="str">
        <x:v>排行榜_商品榜_销售额榜_热销_运动服_休闲服装-健球迷用品-瑜伽长裤_2025-11-01_2026-10-31 (2).xlsx / 默认 / 第102行 / SHA256 8cddb74b4b42ab56f275f05c92c7c706c83ff40bffff2914c8d64de594e32d80</x:v>
      </x:c>
    </x:row>
    <x:row r="28" ht="58" customHeight="1">
      <x:c r="A28" s="23" t="str">
        <x:v>1058096961275</x:v>
      </x:c>
      <x:c r="B28" s="22"/>
      <x:c r="C28" s="22"/>
      <x:c r="D28" s="22"/>
      <x:c r="E28" s="9" t="str">
        <x:v>贴合度未明确</x:v>
      </x:c>
      <x:c r="F28" s="9" t="str">
        <x:v>长裤</x:v>
      </x:c>
      <x:c r="G28" s="9" t="str">
        <x:v>瑜伽长裤</x:v>
      </x:c>
      <x:c r="H28" s="9" t="str">
        <x:v>女</x:v>
      </x:c>
      <x:c r="I28" s="9" t="str">
        <x:v>Vuori飞奥力女士瑜伽长裤</x:v>
      </x:c>
      <x:c r="J28" s="9" t="str">
        <x:v>VUORI</x:v>
      </x:c>
      <x:c r="K28" s="24" t="n">
        <x:v>943.03</x:v>
      </x:c>
      <x:c r="L28" s="25" t="e">
        <x:f>HYPERLINK("https://item.taobao.com/item.htm?id=1058096961275","打开商品")</x:f>
        <x:v>HYPERLINK is not implemented. linkLocation=https://item.taobao.com/item.htm?id=1058096961275, friendlyName=打开商品</x:v>
      </x:c>
      <x:c r="M28" s="25" t="e">
        <x:f>HYPERLINK("https://data.zhiyitech.cn/itemDetail/overview/base?itemId=1058096961275","打开知衣")</x:f>
        <x:v>HYPERLINK is not implemented. linkLocation=https://data.zhiyitech.cn/itemDetail/overview/base?itemId=1058096961275, friendlyName=打开知衣</x:v>
      </x:c>
      <x:c r="N28" s="25" t="e">
        <x:f>HYPERLINK("https://img.alicdn.com/bao/uploaded/i3/2214593356086/O1CN01g6x8vK1upRbREFDdm_!!4611686018427380022-0-item_pic.jpg","查看主图")</x:f>
        <x:v>HYPERLINK is not implemented. linkLocation=https://img.alicdn.com/bao/uploaded/i3/2214593356086/O1CN01g6x8vK1upRbREFDdm_!!4611686018427380022-0-item_pic.jpg, friendlyName=查看主图</x:v>
      </x:c>
      <x:c r="O28" s="9" t="str">
        <x:v>标题及既有类目语义复核；Vuori飞奥力女士瑜伽长裤；标题及原类目明确瑜伽/健身长裤，但无足够贴合度证据；按瑜伽长裤展示，不强归legging。</x:v>
      </x:c>
      <x:c r="P28" s="9" t="str">
        <x:v>瑜伽与紧身裤</x:v>
      </x:c>
      <x:c r="Q28" s="9" t="str">
        <x:v>排行榜_商品榜_销售额榜_热销_运动服_休闲服装-健球迷用品-瑜伽长裤_2025-11-01_2026-10-31 (2).xlsx</x:v>
      </x:c>
      <x:c r="R28" s="9" t="str">
        <x:v>默认</x:v>
      </x:c>
      <x:c r="S28" s="9" t="n">
        <x:v>89</x:v>
      </x:c>
      <x:c r="T28" s="9" t="str">
        <x:v>8cddb74b4b42ab56f275f05c92c7c706c83ff40bffff2914c8d64de594e32d80</x:v>
      </x:c>
      <x:c r="U28" s="9" t="str">
        <x:v>MIX_YOGA_AVGPAID_900_1000_ANNUAL2026</x:v>
      </x:c>
      <x:c r="V28" s="9" t="str">
        <x:v>排行榜_商品榜_销售额榜_热销_运动服_休闲服装-健球迷用品-瑜伽长裤_2025-11-01_2026-10-31 (2).xlsx / 默认 / 第89行 / SHA256 8cddb74b4b42ab56f275f05c92c7c706c83ff40bffff2914c8d64de594e32d80</x:v>
      </x:c>
    </x:row>
    <x:row r="29" ht="58" customHeight="1">
      <x:c r="A29" s="23" t="str">
        <x:v>1064628550862</x:v>
      </x:c>
      <x:c r="B29" s="22"/>
      <x:c r="C29" s="22"/>
      <x:c r="D29" s="22"/>
      <x:c r="E29" s="9" t="str">
        <x:v>贴合度未明确</x:v>
      </x:c>
      <x:c r="F29" s="9" t="str">
        <x:v>长裤</x:v>
      </x:c>
      <x:c r="G29" s="9" t="str">
        <x:v>瑜伽长裤</x:v>
      </x:c>
      <x:c r="H29" s="9" t="str">
        <x:v>女</x:v>
      </x:c>
      <x:c r="I29" s="9" t="str">
        <x:v>Vuori飞奥力女士瑜伽长裤</x:v>
      </x:c>
      <x:c r="J29" s="9" t="str">
        <x:v>VUORI</x:v>
      </x:c>
      <x:c r="K29" s="24" t="n">
        <x:v>969.94</x:v>
      </x:c>
      <x:c r="L29" s="25" t="e">
        <x:f>HYPERLINK("https://item.taobao.com/item.htm?id=1064628550862","打开商品")</x:f>
        <x:v>HYPERLINK is not implemented. linkLocation=https://item.taobao.com/item.htm?id=1064628550862, friendlyName=打开商品</x:v>
      </x:c>
      <x:c r="M29" s="25" t="e">
        <x:f>HYPERLINK("https://data.zhiyitech.cn/itemDetail/overview/base?itemId=1064628550862","打开知衣")</x:f>
        <x:v>HYPERLINK is not implemented. linkLocation=https://data.zhiyitech.cn/itemDetail/overview/base?itemId=1064628550862, friendlyName=打开知衣</x:v>
      </x:c>
      <x:c r="N29" s="25" t="e">
        <x:f>HYPERLINK("https://img.alicdn.com/bao/uploaded/i3/2214593356086/O1CN01rbc5oj1upRbmia8nl_!!4611686018427380022-0-item_pic.jpg","查看主图")</x:f>
        <x:v>HYPERLINK is not implemented. linkLocation=https://img.alicdn.com/bao/uploaded/i3/2214593356086/O1CN01rbc5oj1upRbmia8nl_!!4611686018427380022-0-item_pic.jpg, friendlyName=查看主图</x:v>
      </x:c>
      <x:c r="O29" s="9" t="str">
        <x:v>标题及既有类目语义复核；Vuori飞奥力女士瑜伽长裤；标题及原类目明确瑜伽/健身长裤，但无足够贴合度证据；按瑜伽长裤展示，不强归legging。</x:v>
      </x:c>
      <x:c r="P29" s="9" t="str">
        <x:v>瑜伽与紧身裤</x:v>
      </x:c>
      <x:c r="Q29" s="9" t="str">
        <x:v>排行榜_商品榜_销售额榜_热销_运动服_休闲服装-健球迷用品-瑜伽长裤_2025-11-01_2026-10-31 (2).xlsx</x:v>
      </x:c>
      <x:c r="R29" s="9" t="str">
        <x:v>默认</x:v>
      </x:c>
      <x:c r="S29" s="9" t="n">
        <x:v>80</x:v>
      </x:c>
      <x:c r="T29" s="9" t="str">
        <x:v>8cddb74b4b42ab56f275f05c92c7c706c83ff40bffff2914c8d64de594e32d80</x:v>
      </x:c>
      <x:c r="U29" s="9" t="str">
        <x:v>MIX_YOGA_AVGPAID_900_1000_ANNUAL2026</x:v>
      </x:c>
      <x:c r="V29" s="9" t="str">
        <x:v>排行榜_商品榜_销售额榜_热销_运动服_休闲服装-健球迷用品-瑜伽长裤_2025-11-01_2026-10-31 (2).xlsx / 默认 / 第80行 / SHA256 8cddb74b4b42ab56f275f05c92c7c706c83ff40bffff2914c8d64de594e32d80</x:v>
      </x:c>
    </x:row>
    <x:row r="30" ht="58" customHeight="1">
      <x:c r="A30" s="23" t="str">
        <x:v>1066143977016</x:v>
      </x:c>
      <x:c r="B30" s="22"/>
      <x:c r="C30" s="22"/>
      <x:c r="D30" s="22"/>
      <x:c r="E30" s="9" t="str">
        <x:v>贴合度未明确</x:v>
      </x:c>
      <x:c r="F30" s="9" t="str">
        <x:v>长裤</x:v>
      </x:c>
      <x:c r="G30" s="9" t="str">
        <x:v>瑜伽长裤</x:v>
      </x:c>
      <x:c r="H30" s="9" t="str">
        <x:v>女</x:v>
      </x:c>
      <x:c r="I30" s="9" t="str">
        <x:v>Vuori飞奥力女士高腰瑜伽裤</x:v>
      </x:c>
      <x:c r="J30" s="9" t="str">
        <x:v>VUORI</x:v>
      </x:c>
      <x:c r="K30" s="24" t="n">
        <x:v>1067.45</x:v>
      </x:c>
      <x:c r="L30" s="25" t="e">
        <x:f>HYPERLINK("https://item.taobao.com/item.htm?id=1066143977016","打开商品")</x:f>
        <x:v>HYPERLINK is not implemented. linkLocation=https://item.taobao.com/item.htm?id=1066143977016, friendlyName=打开商品</x:v>
      </x:c>
      <x:c r="M30" s="25" t="e">
        <x:f>HYPERLINK("https://data.zhiyitech.cn/itemDetail/overview/base?itemId=1066143977016","打开知衣")</x:f>
        <x:v>HYPERLINK is not implemented. linkLocation=https://data.zhiyitech.cn/itemDetail/overview/base?itemId=1066143977016, friendlyName=打开知衣</x:v>
      </x:c>
      <x:c r="N30" s="25" t="e">
        <x:f>HYPERLINK("https://img.alicdn.com/bao/uploaded/i1/2214593356086/O1CN01ETmloY1upRbxtdPoN_!!4611686018427380022-0-item_pic.jpg","查看主图")</x:f>
        <x:v>HYPERLINK is not implemented. linkLocation=https://img.alicdn.com/bao/uploaded/i1/2214593356086/O1CN01ETmloY1upRbxtdPoN_!!4611686018427380022-0-item_pic.jpg, friendlyName=查看主图</x:v>
      </x:c>
      <x:c r="O30" s="9" t="str">
        <x:v>标题及既有类目语义复核；Vuori飞奥力女士高腰瑜伽裤；标题及原类目明确瑜伽/健身长裤，但无足够贴合度证据；按瑜伽长裤展示，不强归legging。</x:v>
      </x:c>
      <x:c r="P30" s="9" t="str">
        <x:v>瑜伽与紧身裤</x:v>
      </x:c>
      <x:c r="Q30" s="9" t="str">
        <x:v>排行榜_商品榜_销售额榜_热销_运动服_休闲服装-健球迷用品-瑜伽长裤_2025-11-01_2026-10-31 (1).xlsx</x:v>
      </x:c>
      <x:c r="R30" s="9" t="str">
        <x:v>默认</x:v>
      </x:c>
      <x:c r="S30" s="9" t="n">
        <x:v>102</x:v>
      </x:c>
      <x:c r="T30" s="9" t="str">
        <x:v>2f8153ab6684edaf11ad1e0b4213464d0406cf17631a49517fd66283c0781a23</x:v>
      </x:c>
      <x:c r="U30" s="9" t="str">
        <x:v>MIX_YOGA_AVGPAID_1000_1100_ANNUAL2026</x:v>
      </x:c>
      <x:c r="V30" s="9" t="str">
        <x:v>排行榜_商品榜_销售额榜_热销_运动服_休闲服装-健球迷用品-瑜伽长裤_2025-11-01_2026-10-31 (1).xlsx / 默认 / 第102行 / SHA256 2f8153ab6684edaf11ad1e0b4213464d0406cf17631a49517fd66283c0781a23</x:v>
      </x:c>
    </x:row>
    <x:row r="31" ht="58" customHeight="1">
      <x:c r="A31" s="23" t="str">
        <x:v>1071258846336</x:v>
      </x:c>
      <x:c r="B31" s="22"/>
      <x:c r="C31" s="22"/>
      <x:c r="D31" s="22"/>
      <x:c r="E31" s="9" t="str">
        <x:v>贴合度未明确</x:v>
      </x:c>
      <x:c r="F31" s="9" t="str">
        <x:v>长裤</x:v>
      </x:c>
      <x:c r="G31" s="9" t="str">
        <x:v>瑜伽长裤</x:v>
      </x:c>
      <x:c r="H31" s="9" t="str">
        <x:v>女</x:v>
      </x:c>
      <x:c r="I31" s="9" t="str">
        <x:v>Vuori飞奥力女士瑜伽长裤</x:v>
      </x:c>
      <x:c r="J31" s="9" t="str">
        <x:v>VUORI</x:v>
      </x:c>
      <x:c r="K31" s="24" t="n">
        <x:v>957.02</x:v>
      </x:c>
      <x:c r="L31" s="25" t="e">
        <x:f>HYPERLINK("https://item.taobao.com/item.htm?id=1071258846336","打开商品")</x:f>
        <x:v>HYPERLINK is not implemented. linkLocation=https://item.taobao.com/item.htm?id=1071258846336, friendlyName=打开商品</x:v>
      </x:c>
      <x:c r="M31" s="25" t="e">
        <x:f>HYPERLINK("https://data.zhiyitech.cn/itemDetail/overview/base?itemId=1071258846336","打开知衣")</x:f>
        <x:v>HYPERLINK is not implemented. linkLocation=https://data.zhiyitech.cn/itemDetail/overview/base?itemId=1071258846336, friendlyName=打开知衣</x:v>
      </x:c>
      <x:c r="N31" s="25" t="e">
        <x:f>HYPERLINK("https://img.alicdn.com/bao/uploaded/i4/2214593356086/O1CN01jqbzyxHDpeD2R3rs_!!4611686018427380022-0-item_pic.jpg","查看主图")</x:f>
        <x:v>HYPERLINK is not implemented. linkLocation=https://img.alicdn.com/bao/uploaded/i4/2214593356086/O1CN01jqbzyxHDpeD2R3rs_!!4611686018427380022-0-item_pic.jpg, friendlyName=查看主图</x:v>
      </x:c>
      <x:c r="O31" s="9" t="str">
        <x:v>标题及既有类目语义复核；Vuori飞奥力女士瑜伽长裤；标题及原类目明确瑜伽/健身长裤，但无足够贴合度证据；按瑜伽长裤展示，不强归legging。</x:v>
      </x:c>
      <x:c r="P31" s="9" t="str">
        <x:v>瑜伽与紧身裤</x:v>
      </x:c>
      <x:c r="Q31" s="9" t="str">
        <x:v>排行榜_商品榜_销售额榜_热销_运动服_休闲服装-健球迷用品-瑜伽长裤_2025-11-01_2026-10-31 (2).xlsx</x:v>
      </x:c>
      <x:c r="R31" s="9" t="str">
        <x:v>默认</x:v>
      </x:c>
      <x:c r="S31" s="9" t="n">
        <x:v>71</x:v>
      </x:c>
      <x:c r="T31" s="9" t="str">
        <x:v>8cddb74b4b42ab56f275f05c92c7c706c83ff40bffff2914c8d64de594e32d80</x:v>
      </x:c>
      <x:c r="U31" s="9" t="str">
        <x:v>MIX_YOGA_AVGPAID_900_1000_ANNUAL2026</x:v>
      </x:c>
      <x:c r="V31" s="9" t="str">
        <x:v>排行榜_商品榜_销售额榜_热销_运动服_休闲服装-健球迷用品-瑜伽长裤_2025-11-01_2026-10-31 (2).xlsx / 默认 / 第71行 / SHA256 8cddb74b4b42ab56f275f05c92c7c706c83ff40bffff2914c8d64de594e32d80</x:v>
      </x:c>
    </x:row>
    <x:row r="32" ht="58" customHeight="1">
      <x:c r="A32" s="23" t="str">
        <x:v>1080891846702</x:v>
      </x:c>
      <x:c r="B32" s="22"/>
      <x:c r="C32" s="22"/>
      <x:c r="D32" s="22"/>
      <x:c r="E32" s="9" t="str">
        <x:v>贴合度未明确</x:v>
      </x:c>
      <x:c r="F32" s="9" t="str">
        <x:v>长裤</x:v>
      </x:c>
      <x:c r="G32" s="9" t="str">
        <x:v>瑜伽长裤</x:v>
      </x:c>
      <x:c r="H32" s="9" t="str">
        <x:v>女</x:v>
      </x:c>
      <x:c r="I32" s="9" t="str">
        <x:v>Vuori飞奥力女士瑜伽长裤</x:v>
      </x:c>
      <x:c r="J32" s="9" t="str">
        <x:v>VUORI</x:v>
      </x:c>
      <x:c r="K32" s="24" t="n">
        <x:v>949.5</x:v>
      </x:c>
      <x:c r="L32" s="25" t="e">
        <x:f>HYPERLINK("https://item.taobao.com/item.htm?id=1080891846702","打开商品")</x:f>
        <x:v>HYPERLINK is not implemented. linkLocation=https://item.taobao.com/item.htm?id=1080891846702, friendlyName=打开商品</x:v>
      </x:c>
      <x:c r="M32" s="25" t="e">
        <x:f>HYPERLINK("https://data.zhiyitech.cn/itemDetail/overview/base?itemId=1080891846702","打开知衣")</x:f>
        <x:v>HYPERLINK is not implemented. linkLocation=https://data.zhiyitech.cn/itemDetail/overview/base?itemId=1080891846702, friendlyName=打开知衣</x:v>
      </x:c>
      <x:c r="N32" s="25" t="e">
        <x:f>HYPERLINK("https://img.alicdn.com/bao/uploaded/i3/2214593356086/O1CN01Gnny353zi7E2R3rs_!!4611686018427380022-0-item_pic.jpg","查看主图")</x:f>
        <x:v>HYPERLINK is not implemented. linkLocation=https://img.alicdn.com/bao/uploaded/i3/2214593356086/O1CN01Gnny353zi7E2R3rs_!!4611686018427380022-0-item_pic.jpg, friendlyName=查看主图</x:v>
      </x:c>
      <x:c r="O32" s="9" t="str">
        <x:v>标题及既有类目语义复核；Vuori飞奥力女士瑜伽长裤；标题及原类目明确瑜伽/健身长裤，但无足够贴合度证据；按瑜伽长裤展示，不强归legging。</x:v>
      </x:c>
      <x:c r="P32" s="9" t="str">
        <x:v>瑜伽与紧身裤</x:v>
      </x:c>
      <x:c r="Q32" s="9" t="str">
        <x:v>排行榜_商品榜_销售额榜_热销_运动服_休闲服装-健球迷用品-瑜伽长裤_2025-11-01_2026-10-31 (2).xlsx</x:v>
      </x:c>
      <x:c r="R32" s="9" t="str">
        <x:v>默认</x:v>
      </x:c>
      <x:c r="S32" s="9" t="n">
        <x:v>108</x:v>
      </x:c>
      <x:c r="T32" s="9" t="str">
        <x:v>8cddb74b4b42ab56f275f05c92c7c706c83ff40bffff2914c8d64de594e32d80</x:v>
      </x:c>
      <x:c r="U32" s="9" t="str">
        <x:v>MIX_YOGA_AVGPAID_900_1000_ANNUAL2026</x:v>
      </x:c>
      <x:c r="V32" s="9" t="str">
        <x:v>排行榜_商品榜_销售额榜_热销_运动服_休闲服装-健球迷用品-瑜伽长裤_2025-11-01_2026-10-31 (2).xlsx / 默认 / 第108行 / SHA256 8cddb74b4b42ab56f275f05c92c7c706c83ff40bffff2914c8d64de594e32d80</x:v>
      </x:c>
    </x:row>
    <x:row r="33" ht="58" customHeight="1">
      <x:c r="A33" s="23" t="str">
        <x:v>766271715633</x:v>
      </x:c>
      <x:c r="B33" s="22"/>
      <x:c r="C33" s="22"/>
      <x:c r="D33" s="22"/>
      <x:c r="E33" s="9" t="str">
        <x:v>贴合度未明确</x:v>
      </x:c>
      <x:c r="F33" s="9" t="str">
        <x:v>长裤</x:v>
      </x:c>
      <x:c r="G33" s="9" t="str">
        <x:v>瑜伽长裤</x:v>
      </x:c>
      <x:c r="H33" s="9" t="str">
        <x:v>女</x:v>
      </x:c>
      <x:c r="I33" s="9" t="str">
        <x:v>Vuori飞奥力女士瑜伽运动休闲裤</x:v>
      </x:c>
      <x:c r="J33" s="9" t="str">
        <x:v>VUORI</x:v>
      </x:c>
      <x:c r="K33" s="24" t="n">
        <x:v>902.51</x:v>
      </x:c>
      <x:c r="L33" s="25" t="e">
        <x:f>HYPERLINK("https://item.taobao.com/item.htm?id=766271715633","打开商品")</x:f>
        <x:v>HYPERLINK is not implemented. linkLocation=https://item.taobao.com/item.htm?id=766271715633, friendlyName=打开商品</x:v>
      </x:c>
      <x:c r="M33" s="25" t="e">
        <x:f>HYPERLINK("https://data.zhiyitech.cn/itemDetail/overview/base?itemId=766271715633","打开知衣")</x:f>
        <x:v>HYPERLINK is not implemented. linkLocation=https://data.zhiyitech.cn/itemDetail/overview/base?itemId=766271715633, friendlyName=打开知衣</x:v>
      </x:c>
      <x:c r="N33" s="25" t="e">
        <x:f>HYPERLINK("https://img.alicdn.com/bao/uploaded/i2/2214593356086/O1CN01QlU8Dm1upRZKV3mkK_!!4611686018427380022-0-item_pic.jpg","查看主图")</x:f>
        <x:v>HYPERLINK is not implemented. linkLocation=https://img.alicdn.com/bao/uploaded/i2/2214593356086/O1CN01QlU8Dm1upRZKV3mkK_!!4611686018427380022-0-item_pic.jpg, friendlyName=查看主图</x:v>
      </x:c>
      <x:c r="O33" s="9" t="str">
        <x:v>标题及既有类目语义复核；Vuori飞奥力女士瑜伽运动休闲裤；标题及原类目明确瑜伽/健身长裤，但无足够贴合度证据；按瑜伽长裤展示，不强归legging。</x:v>
      </x:c>
      <x:c r="P33" s="9" t="str">
        <x:v>瑜伽与紧身裤</x:v>
      </x:c>
      <x:c r="Q33" s="9" t="str">
        <x:v>排行榜_商品榜_销售额榜_热销_运动服_休闲服装-健球迷用品-瑜伽长裤_2025-11-01_2026-10-31 (2).xlsx</x:v>
      </x:c>
      <x:c r="R33" s="9" t="str">
        <x:v>默认</x:v>
      </x:c>
      <x:c r="S33" s="9" t="n">
        <x:v>104</x:v>
      </x:c>
      <x:c r="T33" s="9" t="str">
        <x:v>8cddb74b4b42ab56f275f05c92c7c706c83ff40bffff2914c8d64de594e32d80</x:v>
      </x:c>
      <x:c r="U33" s="9" t="str">
        <x:v>MIX_YOGA_AVGPAID_900_1000_ANNUAL2026</x:v>
      </x:c>
      <x:c r="V33" s="9" t="str">
        <x:v>排行榜_商品榜_销售额榜_热销_运动服_休闲服装-健球迷用品-瑜伽长裤_2025-11-01_2026-10-31 (2).xlsx / 默认 / 第104行 / SHA256 8cddb74b4b42ab56f275f05c92c7c706c83ff40bffff2914c8d64de594e32d80</x:v>
      </x:c>
    </x:row>
    <x:row r="34" ht="58" customHeight="1">
      <x:c r="A34" s="23" t="str">
        <x:v>871102948182</x:v>
      </x:c>
      <x:c r="B34" s="22"/>
      <x:c r="C34" s="22"/>
      <x:c r="D34" s="22"/>
      <x:c r="E34" s="9" t="str">
        <x:v>贴合度未明确</x:v>
      </x:c>
      <x:c r="F34" s="9" t="str">
        <x:v>长裤</x:v>
      </x:c>
      <x:c r="G34" s="9" t="str">
        <x:v>瑜伽长裤</x:v>
      </x:c>
      <x:c r="H34" s="9" t="str">
        <x:v>女</x:v>
      </x:c>
      <x:c r="I34" s="9" t="str">
        <x:v>Vuori Halo 飞奥力25春季新品女士健身瑜伽裤 运动休闲 VW4303</x:v>
      </x:c>
      <x:c r="J34" s="9" t="str">
        <x:v>VUORI</x:v>
      </x:c>
      <x:c r="K34" s="24" t="n">
        <x:v>933.75</x:v>
      </x:c>
      <x:c r="L34" s="25" t="e">
        <x:f>HYPERLINK("https://item.taobao.com/item.htm?id=871102948182","打开商品")</x:f>
        <x:v>HYPERLINK is not implemented. linkLocation=https://item.taobao.com/item.htm?id=871102948182, friendlyName=打开商品</x:v>
      </x:c>
      <x:c r="M34" s="25" t="e">
        <x:f>HYPERLINK("https://data.zhiyitech.cn/itemDetail/overview/base?itemId=871102948182","打开知衣")</x:f>
        <x:v>HYPERLINK is not implemented. linkLocation=https://data.zhiyitech.cn/itemDetail/overview/base?itemId=871102948182, friendlyName=打开知衣</x:v>
      </x:c>
      <x:c r="N34" s="25" t="e">
        <x:f>HYPERLINK("https://img.alicdn.com/i1/2214593356086/O1CN01bXV5VA1upRYmM9mTa_!!4611686018427380022-0-item_pic.jpg","查看主图")</x:f>
        <x:v>HYPERLINK is not implemented. linkLocation=https://img.alicdn.com/i1/2214593356086/O1CN01bXV5VA1upRYmM9mTa_!!4611686018427380022-0-item_pic.jpg, friendlyName=查看主图</x:v>
      </x:c>
      <x:c r="O34" s="9" t="str">
        <x:v>标题及既有类目语义复核；Vuori Halo 飞奥力25春季新品女士健身瑜伽裤 运动休闲 VW4303；标题及原类目明确瑜伽/健身长裤，但无足够贴合度证据；按瑜伽长裤展示，不强归legging。</x:v>
      </x:c>
      <x:c r="P34" s="9" t="str">
        <x:v>瑜伽与紧身裤</x:v>
      </x:c>
      <x:c r="Q34" s="9" t="str">
        <x:v>排行榜_商品榜_销售额榜_热销_运动服_休闲服装-健球迷用品-瑜伽长裤_2025-11-01_2026-10-31 (2).xlsx</x:v>
      </x:c>
      <x:c r="R34" s="9" t="str">
        <x:v>默认</x:v>
      </x:c>
      <x:c r="S34" s="9" t="n">
        <x:v>109</x:v>
      </x:c>
      <x:c r="T34" s="9" t="str">
        <x:v>8cddb74b4b42ab56f275f05c92c7c706c83ff40bffff2914c8d64de594e32d80</x:v>
      </x:c>
      <x:c r="U34" s="9" t="str">
        <x:v>MIX_YOGA_AVGPAID_900_1000_ANNUAL2026</x:v>
      </x:c>
      <x:c r="V34" s="9" t="str">
        <x:v>排行榜_商品榜_销售额榜_热销_运动服_休闲服装-健球迷用品-瑜伽长裤_2025-11-01_2026-10-31 (2).xlsx / 默认 / 第109行 / SHA256 8cddb74b4b42ab56f275f05c92c7c706c83ff40bffff2914c8d64de594e32d80</x:v>
      </x:c>
    </x:row>
    <x:row r="35" ht="58" customHeight="1">
      <x:c r="A35" s="23" t="str">
        <x:v>969660831212</x:v>
      </x:c>
      <x:c r="B35" s="22"/>
      <x:c r="C35" s="22"/>
      <x:c r="D35" s="22"/>
      <x:c r="E35" s="9" t="str">
        <x:v>贴合度未明确</x:v>
      </x:c>
      <x:c r="F35" s="9" t="str">
        <x:v>长裤</x:v>
      </x:c>
      <x:c r="G35" s="9" t="str">
        <x:v>瑜伽长裤</x:v>
      </x:c>
      <x:c r="H35" s="9" t="str">
        <x:v>女</x:v>
      </x:c>
      <x:c r="I35" s="9" t="str">
        <x:v>Vuori飞奥力女士运动健身瑜伽裤</x:v>
      </x:c>
      <x:c r="J35" s="9" t="str">
        <x:v>VUORI</x:v>
      </x:c>
      <x:c r="K35" s="24" t="n">
        <x:v>954.75</x:v>
      </x:c>
      <x:c r="L35" s="25" t="e">
        <x:f>HYPERLINK("https://item.taobao.com/item.htm?id=969660831212","打开商品")</x:f>
        <x:v>HYPERLINK is not implemented. linkLocation=https://item.taobao.com/item.htm?id=969660831212, friendlyName=打开商品</x:v>
      </x:c>
      <x:c r="M35" s="25" t="e">
        <x:f>HYPERLINK("https://data.zhiyitech.cn/itemDetail/overview/base?itemId=969660831212","打开知衣")</x:f>
        <x:v>HYPERLINK is not implemented. linkLocation=https://data.zhiyitech.cn/itemDetail/overview/base?itemId=969660831212, friendlyName=打开知衣</x:v>
      </x:c>
      <x:c r="N35" s="25" t="e">
        <x:f>HYPERLINK("https://img.alicdn.com/bao/uploaded/i2/2214593356086/O1CN01IG48U3fXLCH2R3rs_!!2214593356086.jpg","查看主图")</x:f>
        <x:v>HYPERLINK is not implemented. linkLocation=https://img.alicdn.com/bao/uploaded/i2/2214593356086/O1CN01IG48U3fXLCH2R3rs_!!2214593356086.jpg, friendlyName=查看主图</x:v>
      </x:c>
      <x:c r="O35" s="9" t="str">
        <x:v>标题及既有类目语义复核；Vuori飞奥力女士运动健身瑜伽裤；标题及原类目明确瑜伽/健身长裤，但无足够贴合度证据；按瑜伽长裤展示，不强归legging。</x:v>
      </x:c>
      <x:c r="P35" s="9" t="str">
        <x:v>瑜伽与紧身裤</x:v>
      </x:c>
      <x:c r="Q35" s="9" t="str">
        <x:v>排行榜_商品榜_销售额榜_热销_运动服_休闲服装-健球迷用品-瑜伽长裤_2025-11-01_2026-10-31 (2).xlsx</x:v>
      </x:c>
      <x:c r="R35" s="9" t="str">
        <x:v>默认</x:v>
      </x:c>
      <x:c r="S35" s="9" t="n">
        <x:v>77</x:v>
      </x:c>
      <x:c r="T35" s="9" t="str">
        <x:v>8cddb74b4b42ab56f275f05c92c7c706c83ff40bffff2914c8d64de594e32d80</x:v>
      </x:c>
      <x:c r="U35" s="9" t="str">
        <x:v>MIX_YOGA_AVGPAID_900_1000_ANNUAL2026</x:v>
      </x:c>
      <x:c r="V35" s="9" t="str">
        <x:v>排行榜_商品榜_销售额榜_热销_运动服_休闲服装-健球迷用品-瑜伽长裤_2025-11-01_2026-10-31 (2).xlsx / 默认 / 第77行 / SHA256 8cddb74b4b42ab56f275f05c92c7c706c83ff40bffff2914c8d64de594e32d80</x:v>
      </x:c>
    </x:row>
    <x:row r="36" ht="58" customHeight="1">
      <x:c r="A36" s="23" t="str">
        <x:v>999501894646</x:v>
      </x:c>
      <x:c r="B36" s="22"/>
      <x:c r="C36" s="22"/>
      <x:c r="D36" s="22"/>
      <x:c r="E36" s="9" t="str">
        <x:v>贴合度未明确</x:v>
      </x:c>
      <x:c r="F36" s="9" t="str">
        <x:v>长裤</x:v>
      </x:c>
      <x:c r="G36" s="9" t="str">
        <x:v>瑜伽长裤</x:v>
      </x:c>
      <x:c r="H36" s="9" t="str">
        <x:v>女</x:v>
      </x:c>
      <x:c r="I36" s="9" t="str">
        <x:v>Vuori飞奥力女士休闲健身瑜伽裤</x:v>
      </x:c>
      <x:c r="J36" s="9" t="str">
        <x:v>VUORI</x:v>
      </x:c>
      <x:c r="K36" s="24" t="n">
        <x:v>1050.75</x:v>
      </x:c>
      <x:c r="L36" s="25" t="e">
        <x:f>HYPERLINK("https://item.taobao.com/item.htm?id=999501894646","打开商品")</x:f>
        <x:v>HYPERLINK is not implemented. linkLocation=https://item.taobao.com/item.htm?id=999501894646, friendlyName=打开商品</x:v>
      </x:c>
      <x:c r="M36" s="25" t="e">
        <x:f>HYPERLINK("https://data.zhiyitech.cn/itemDetail/overview/base?itemId=999501894646","打开知衣")</x:f>
        <x:v>HYPERLINK is not implemented. linkLocation=https://data.zhiyitech.cn/itemDetail/overview/base?itemId=999501894646, friendlyName=打开知衣</x:v>
      </x:c>
      <x:c r="N36" s="25" t="e">
        <x:f>HYPERLINK("https://img.alicdn.com/bao/uploaded/i4/2214593356086/O1CN01riRN831upRZ6jIbNo_!!4611686018427380022-0-item_pic.jpg","查看主图")</x:f>
        <x:v>HYPERLINK is not implemented. linkLocation=https://img.alicdn.com/bao/uploaded/i4/2214593356086/O1CN01riRN831upRZ6jIbNo_!!4611686018427380022-0-item_pic.jpg, friendlyName=查看主图</x:v>
      </x:c>
      <x:c r="O36" s="9" t="str">
        <x:v>标题及既有类目语义复核；Vuori飞奥力女士休闲健身瑜伽裤；标题及原类目明确瑜伽/健身长裤，但无足够贴合度证据；按瑜伽长裤展示，不强归legging。</x:v>
      </x:c>
      <x:c r="P36" s="9" t="str">
        <x:v>瑜伽与紧身裤</x:v>
      </x:c>
      <x:c r="Q36" s="9" t="str">
        <x:v>排行榜_商品榜_销售额榜_热销_运动服_休闲服装-健球迷用品-瑜伽长裤_2025-11-01_2026-10-31 (1).xlsx</x:v>
      </x:c>
      <x:c r="R36" s="9" t="str">
        <x:v>默认</x:v>
      </x:c>
      <x:c r="S36" s="9" t="n">
        <x:v>139</x:v>
      </x:c>
      <x:c r="T36" s="9" t="str">
        <x:v>2f8153ab6684edaf11ad1e0b4213464d0406cf17631a49517fd66283c0781a23</x:v>
      </x:c>
      <x:c r="U36" s="9" t="str">
        <x:v>MIX_YOGA_AVGPAID_1000_1100_ANNUAL2026</x:v>
      </x:c>
      <x:c r="V36" s="9" t="str">
        <x:v>排行榜_商品榜_销售额榜_热销_运动服_休闲服装-健球迷用品-瑜伽长裤_2025-11-01_2026-10-31 (1).xlsx / 默认 / 第139行 / SHA256 2f8153ab6684edaf11ad1e0b4213464d0406cf17631a49517fd66283c0781a23</x:v>
      </x:c>
    </x:row>
    <x:row r="37" ht="58" customHeight="1">
      <x:c r="A37" s="23" t="str">
        <x:v>1020471541939</x:v>
      </x:c>
      <x:c r="B37" s="22"/>
      <x:c r="C37" s="22"/>
      <x:c r="D37" s="22"/>
      <x:c r="E37" s="9" t="str">
        <x:v>贴合度未明确</x:v>
      </x:c>
      <x:c r="F37" s="9" t="str">
        <x:v>长裤</x:v>
      </x:c>
      <x:c r="G37" s="9" t="str">
        <x:v>瑜伽长裤</x:v>
      </x:c>
      <x:c r="H37" s="9" t="str">
        <x:v>女</x:v>
      </x:c>
      <x:c r="I37" s="9" t="str">
        <x:v>lulu ilertb瑜伽裤女2026年夏季无痕外穿免穿内裤高腰提臀健身裤</x:v>
      </x:c>
      <x:c r="J37" s="9" t="str">
        <x:v>未提供品牌</x:v>
      </x:c>
      <x:c r="K37" s="24" t="n">
        <x:v>1106</x:v>
      </x:c>
      <x:c r="L37" s="25" t="e">
        <x:f>HYPERLINK("https://item.taobao.com/item.htm?id=1020471541939","打开商品")</x:f>
        <x:v>HYPERLINK is not implemented. linkLocation=https://item.taobao.com/item.htm?id=1020471541939, friendlyName=打开商品</x:v>
      </x:c>
      <x:c r="M37" s="25" t="e">
        <x:f>HYPERLINK("https://data.zhiyitech.cn/itemDetail/overview/base?itemId=1020471541939","打开知衣")</x:f>
        <x:v>HYPERLINK is not implemented. linkLocation=https://data.zhiyitech.cn/itemDetail/overview/base?itemId=1020471541939, friendlyName=打开知衣</x:v>
      </x:c>
      <x:c r="N37" s="25" t="e">
        <x:f>HYPERLINK("https://img.alicdn.com/bao/uploaded/i2/2219201005181/O1CN013mZVbr1o8x8etuWKA_!!4611686018427381373-0-item_pic.jpg","查看主图")</x:f>
        <x:v>HYPERLINK is not implemented. linkLocation=https://img.alicdn.com/bao/uploaded/i2/2219201005181/O1CN013mZVbr1o8x8etuWKA_!!4611686018427381373-0-item_pic.jpg, friendlyName=查看主图</x:v>
      </x:c>
      <x:c r="O37" s="9" t="str">
        <x:v>标题及既有类目语义复核；lulu ilertb瑜伽裤女2026年夏季无痕外穿免穿内裤高腰提臀健身裤；标题可确认瑜伽裤及结构宣称，但未充分证明紧身，保留贴合度未知。</x:v>
      </x:c>
      <x:c r="P37" s="9" t="str">
        <x:v>瑜伽与紧身裤</x:v>
      </x:c>
      <x:c r="Q37" s="9" t="str">
        <x:v>排行榜_商品榜_销售额榜_热销_运动服_休闲服装-健球迷用品-瑜伽长裤_2025-11-01_2026-10-31.xlsx</x:v>
      </x:c>
      <x:c r="R37" s="9" t="str">
        <x:v>默认</x:v>
      </x:c>
      <x:c r="S37" s="9" t="n">
        <x:v>27</x:v>
      </x:c>
      <x:c r="T37" s="9" t="str">
        <x:v>9ea76f5170f1e1701517b21a8e1bac830f6c717f0366f47d4c5cf03c3325c96f</x:v>
      </x:c>
      <x:c r="U37" s="9" t="str">
        <x:v>MIX_YOGA_AVGPAID_1100_1200_ANNUAL2026</x:v>
      </x:c>
      <x:c r="V37" s="9" t="str">
        <x:v>排行榜_商品榜_销售额榜_热销_运动服_休闲服装-健球迷用品-瑜伽长裤_2025-11-01_2026-10-31.xlsx / 默认 / 第27行 / SHA256 9ea76f5170f1e1701517b21a8e1bac830f6c717f0366f47d4c5cf03c3325c96f</x:v>
      </x:c>
    </x:row>
    <x:row r="38" ht="58" customHeight="1">
      <x:c r="A38" s="23" t="str">
        <x:v>1026996776470</x:v>
      </x:c>
      <x:c r="B38" s="22"/>
      <x:c r="C38" s="22"/>
      <x:c r="D38" s="22"/>
      <x:c r="E38" s="9" t="str">
        <x:v>贴合度未明确</x:v>
      </x:c>
      <x:c r="F38" s="9" t="str">
        <x:v>长裤</x:v>
      </x:c>
      <x:c r="G38" s="9" t="str">
        <x:v>打底长裤</x:v>
      </x:c>
      <x:c r="H38" s="9" t="str">
        <x:v>女</x:v>
      </x:c>
      <x:c r="I38" s="9" t="str">
        <x:v>YOEYYOU 设计师品牌 26春夏新品 纯色针织内搭裤 SOLSOL买手店</x:v>
      </x:c>
      <x:c r="J38" s="9" t="str">
        <x:v>未提供品牌</x:v>
      </x:c>
      <x:c r="K38" s="24" t="n">
        <x:v>1182.01</x:v>
      </x:c>
      <x:c r="L38" s="25" t="e">
        <x:f>HYPERLINK("https://item.taobao.com/item.htm?id=1026996776470","打开商品")</x:f>
        <x:v>HYPERLINK is not implemented. linkLocation=https://item.taobao.com/item.htm?id=1026996776470, friendlyName=打开商品</x:v>
      </x:c>
      <x:c r="M38" s="25" t="e">
        <x:f>HYPERLINK("https://data.zhiyitech.cn/itemDetail/overview/base?itemId=1026996776470","打开知衣")</x:f>
        <x:v>HYPERLINK is not implemented. linkLocation=https://data.zhiyitech.cn/itemDetail/overview/base?itemId=1026996776470, friendlyName=打开知衣</x:v>
      </x:c>
      <x:c r="N38" s="25" t="e">
        <x:f>HYPERLINK("https://img.alicdn.com/bao/uploaded/i1/158221013/O1CN01r7ajIR1JM0L1pWrQY_!!158221013.jpg","查看主图")</x:f>
        <x:v>HYPERLINK is not implemented. linkLocation=https://img.alicdn.com/bao/uploaded/i1/158221013/O1CN01r7ajIR1JM0L1pWrQY_!!158221013.jpg, friendlyName=查看主图</x:v>
      </x:c>
      <x:c r="O38" s="9" t="str">
        <x:v>标题及既有类目语义复核；YOEYYOU 设计师品牌 26春夏新品 纯色针织内搭裤 SOLSOL买手店；标题及普通服装来源显示打底/内搭裤，未提供瑜伽用途或紧身证据；按已知内搭长裤展示，贴合度保留未知。</x:v>
      </x:c>
      <x:c r="P38" s="9" t="str">
        <x:v>普通男女装</x:v>
      </x:c>
      <x:c r="Q38" s="9" t="str">
        <x:v>W_LEGGINGS_AVGPAID_1100_1200_ANNUAL2026.xlsx</x:v>
      </x:c>
      <x:c r="R38" s="9" t="str">
        <x:v>默认</x:v>
      </x:c>
      <x:c r="S38" s="9" t="n">
        <x:v>5</x:v>
      </x:c>
      <x:c r="T38" s="9" t="str">
        <x:v>0b0291497b772634bf332e41b6fd42920a94f3a0263968018023d35e3ca7e7c4</x:v>
      </x:c>
      <x:c r="U38" s="9" t="str">
        <x:v>W_LEGGINGS_AVGPAID_1100_1200_ANNUAL2026</x:v>
      </x:c>
      <x:c r="V38" s="9" t="str">
        <x:v>W_LEGGINGS_AVGPAID_1100_1200_ANNUAL2026.xlsx / 默认 / 第5行 / SHA256 0b0291497b772634bf332e41b6fd42920a94f3a0263968018023d35e3ca7e7c4</x:v>
      </x:c>
    </x:row>
    <x:row r="39" ht="58" customHeight="1">
      <x:c r="A39" s="23" t="str">
        <x:v>1087640807808</x:v>
      </x:c>
      <x:c r="B39" s="22"/>
      <x:c r="C39" s="22"/>
      <x:c r="D39" s="22"/>
      <x:c r="E39" s="9" t="str">
        <x:v>贴合度未明确</x:v>
      </x:c>
      <x:c r="F39" s="9" t="str">
        <x:v>长裤</x:v>
      </x:c>
      <x:c r="G39" s="9" t="str">
        <x:v>瑜伽长裤</x:v>
      </x:c>
      <x:c r="H39" s="9" t="str">
        <x:v>待判定</x:v>
      </x:c>
      <x:c r="I39" s="9" t="str">
        <x:v>SENSEUP26秋韩国正品BUDHI MUDRA设计师品牌弧形剪裁瑜珈裤</x:v>
      </x:c>
      <x:c r="J39" s="9" t="str">
        <x:v>未提供品牌</x:v>
      </x:c>
      <x:c r="K39" s="24" t="n">
        <x:v>954.1</x:v>
      </x:c>
      <x:c r="L39" s="25" t="e">
        <x:f>HYPERLINK("https://item.taobao.com/item.htm?id=1087640807808","打开商品")</x:f>
        <x:v>HYPERLINK is not implemented. linkLocation=https://item.taobao.com/item.htm?id=1087640807808, friendlyName=打开商品</x:v>
      </x:c>
      <x:c r="M39" s="25" t="e">
        <x:f>HYPERLINK("https://data.zhiyitech.cn/itemDetail/overview/base?itemId=1087640807808","打开知衣")</x:f>
        <x:v>HYPERLINK is not implemented. linkLocation=https://data.zhiyitech.cn/itemDetail/overview/base?itemId=1087640807808, friendlyName=打开知衣</x:v>
      </x:c>
      <x:c r="N39" s="25" t="e">
        <x:f>HYPERLINK("https://img.alicdn.com/imgextra/i3/2838504872/O1CN01Y200QqMdDYG2BxLq~crop,0,217,1080,1080~_!!2838504872.jpg","查看主图")</x:f>
        <x:v>HYPERLINK is not implemented. linkLocation=https://img.alicdn.com/imgextra/i3/2838504872/O1CN01Y200QqMdDYG2BxLq~crop,0,217,1080,1080~_!!2838504872.jpg, friendlyName=查看主图</x:v>
      </x:c>
      <x:c r="O39" s="9" t="str">
        <x:v>标题及既有类目语义复核；SENSEUP26秋韩国正品BUDHI MUDRA设计师品牌弧形剪裁瑜珈裤；标题及原类目明确瑜伽/健身长裤，但无足够贴合度证据；按瑜伽长裤展示，不强归legging。</x:v>
      </x:c>
      <x:c r="P39" s="9" t="str">
        <x:v>瑜伽与紧身裤</x:v>
      </x:c>
      <x:c r="Q39" s="9" t="str">
        <x:v>排行榜_商品榜_销售额榜_热销_运动服_休闲服装-健球迷用品-瑜伽长裤_2025-11-01_2026-10-31 (2).xlsx</x:v>
      </x:c>
      <x:c r="R39" s="9" t="str">
        <x:v>默认</x:v>
      </x:c>
      <x:c r="S39" s="9" t="n">
        <x:v>138</x:v>
      </x:c>
      <x:c r="T39" s="9" t="str">
        <x:v>8cddb74b4b42ab56f275f05c92c7c706c83ff40bffff2914c8d64de594e32d80</x:v>
      </x:c>
      <x:c r="U39" s="9" t="str">
        <x:v>MIX_YOGA_AVGPAID_900_1000_ANNUAL2026</x:v>
      </x:c>
      <x:c r="V39" s="9" t="str">
        <x:v>排行榜_商品榜_销售额榜_热销_运动服_休闲服装-健球迷用品-瑜伽长裤_2025-11-01_2026-10-31 (2).xlsx / 默认 / 第138行 / SHA256 8cddb74b4b42ab56f275f05c92c7c706c83ff40bffff2914c8d64de594e32d80</x:v>
      </x:c>
    </x:row>
    <x:row r="40" ht="58" customHeight="1">
      <x:c r="A40" s="23" t="str">
        <x:v>851880293660</x:v>
      </x:c>
      <x:c r="B40" s="22"/>
      <x:c r="C40" s="22"/>
      <x:c r="D40" s="22"/>
      <x:c r="E40" s="9" t="str">
        <x:v>贴合度未明确</x:v>
      </x:c>
      <x:c r="F40" s="9" t="str">
        <x:v>长裤</x:v>
      </x:c>
      <x:c r="G40" s="9" t="str">
        <x:v>打底长裤</x:v>
      </x:c>
      <x:c r="H40" s="9" t="str">
        <x:v>女</x:v>
      </x:c>
      <x:c r="I40" s="9" t="str">
        <x:v>VIVANTE 小暖炉 两色保暖羊绒打底裤 DF11042</x:v>
      </x:c>
      <x:c r="J40" s="9" t="str">
        <x:v>未提供品牌</x:v>
      </x:c>
      <x:c r="K40" s="24" t="n">
        <x:v>997.92</x:v>
      </x:c>
      <x:c r="L40" s="25" t="e">
        <x:f>HYPERLINK("https://item.taobao.com/item.htm?id=851880293660","打开商品")</x:f>
        <x:v>HYPERLINK is not implemented. linkLocation=https://item.taobao.com/item.htm?id=851880293660, friendlyName=打开商品</x:v>
      </x:c>
      <x:c r="M40" s="25" t="e">
        <x:f>HYPERLINK("https://data.zhiyitech.cn/itemDetail/overview/base?itemId=851880293660","打开知衣")</x:f>
        <x:v>HYPERLINK is not implemented. linkLocation=https://data.zhiyitech.cn/itemDetail/overview/base?itemId=851880293660, friendlyName=打开知衣</x:v>
      </x:c>
      <x:c r="N40" s="25" t="e">
        <x:f>HYPERLINK("https://img.alicdn.com/imgextra/i3/2747985175/O1CN01eSjJFx1o6CeHsHZSw_!!2747985175.jpg","查看主图")</x:f>
        <x:v>HYPERLINK is not implemented. linkLocation=https://img.alicdn.com/imgextra/i3/2747985175/O1CN01eSjJFx1o6CeHsHZSw_!!2747985175.jpg, friendlyName=查看主图</x:v>
      </x:c>
      <x:c r="O40" s="9" t="str">
        <x:v>标题及既有类目语义复核；VIVANTE 小暖炉 两色保暖羊绒打底裤 DF11042；标题及普通服装来源显示打底/内搭裤，未提供瑜伽用途或紧身证据；按已知内搭长裤展示，贴合度保留未知。</x:v>
      </x:c>
      <x:c r="P40" s="9" t="str">
        <x:v>普通男女装</x:v>
      </x:c>
      <x:c r="Q40" s="9" t="str">
        <x:v>W_LEGGINGS_AVGPAID_900_1000_ANNUAL2026.xlsx</x:v>
      </x:c>
      <x:c r="R40" s="9" t="str">
        <x:v>默认</x:v>
      </x:c>
      <x:c r="S40" s="9" t="n">
        <x:v>9</x:v>
      </x:c>
      <x:c r="T40" s="9" t="str">
        <x:v>44248e7a1cd2c7ffa97ace3220c7a10533144ffb18c92cad74b013fe24339819</x:v>
      </x:c>
      <x:c r="U40" s="9" t="str">
        <x:v>W_LEGGINGS_AVGPAID_900_1000_ANNUAL2026</x:v>
      </x:c>
      <x:c r="V40" s="9" t="str">
        <x:v>W_LEGGINGS_AVGPAID_900_1000_ANNUAL2026.xlsx / 默认 / 第9行 / SHA256 44248e7a1cd2c7ffa97ace3220c7a10533144ffb18c92cad74b013fe24339819</x:v>
      </x:c>
    </x:row>
    <x:row r="41" ht="58" customHeight="1">
      <x:c r="A41" s="23" t="str">
        <x:v>962952343295</x:v>
      </x:c>
      <x:c r="B41" s="22"/>
      <x:c r="C41" s="22"/>
      <x:c r="D41" s="22"/>
      <x:c r="E41" s="9" t="str">
        <x:v>贴合度未明确</x:v>
      </x:c>
      <x:c r="F41" s="9" t="str">
        <x:v>长裤</x:v>
      </x:c>
      <x:c r="G41" s="9" t="str">
        <x:v>打底长裤</x:v>
      </x:c>
      <x:c r="H41" s="9" t="str">
        <x:v>女</x:v>
      </x:c>
      <x:c r="I41" s="9" t="str">
        <x:v>包税包邮日本humoresque上质细腻纯棉薄款白色高腰打底裤</x:v>
      </x:c>
      <x:c r="J41" s="9" t="str">
        <x:v>未提供品牌</x:v>
      </x:c>
      <x:c r="K41" s="24" t="n">
        <x:v>970</x:v>
      </x:c>
      <x:c r="L41" s="25" t="e">
        <x:f>HYPERLINK("https://item.taobao.com/item.htm?id=962952343295","打开商品")</x:f>
        <x:v>HYPERLINK is not implemented. linkLocation=https://item.taobao.com/item.htm?id=962952343295, friendlyName=打开商品</x:v>
      </x:c>
      <x:c r="M41" s="25" t="e">
        <x:f>HYPERLINK("https://data.zhiyitech.cn/itemDetail/overview/base?itemId=962952343295","打开知衣")</x:f>
        <x:v>HYPERLINK is not implemented. linkLocation=https://data.zhiyitech.cn/itemDetail/overview/base?itemId=962952343295, friendlyName=打开知衣</x:v>
      </x:c>
      <x:c r="N41" s="25" t="e">
        <x:f>HYPERLINK("https://img.alicdn.com/bao/uploaded/i3/1794185832/O1CN01clIAJz1sx6w5Khswl_!!1794185832.jpg","查看主图")</x:f>
        <x:v>HYPERLINK is not implemented. linkLocation=https://img.alicdn.com/bao/uploaded/i3/1794185832/O1CN01clIAJz1sx6w5Khswl_!!1794185832.jpg, friendlyName=查看主图</x:v>
      </x:c>
      <x:c r="O41" s="9" t="str">
        <x:v>标题及既有类目语义复核；包税包邮日本humoresque上质细腻纯棉薄款白色高腰打底裤；标题及普通服装来源显示打底/内搭裤，未提供瑜伽用途或紧身证据；按已知内搭长裤展示，贴合度保留未知。</x:v>
      </x:c>
      <x:c r="P41" s="9" t="str">
        <x:v>普通男女装</x:v>
      </x:c>
      <x:c r="Q41" s="9" t="str">
        <x:v>W_LEGGINGS_AVGPAID_900_1000_ANNUAL2026.xlsx</x:v>
      </x:c>
      <x:c r="R41" s="9" t="str">
        <x:v>默认</x:v>
      </x:c>
      <x:c r="S41" s="9" t="n">
        <x:v>31</x:v>
      </x:c>
      <x:c r="T41" s="9" t="str">
        <x:v>44248e7a1cd2c7ffa97ace3220c7a10533144ffb18c92cad74b013fe24339819</x:v>
      </x:c>
      <x:c r="U41" s="9" t="str">
        <x:v>W_LEGGINGS_AVGPAID_900_1000_ANNUAL2026</x:v>
      </x:c>
      <x:c r="V41" s="9" t="str">
        <x:v>W_LEGGINGS_AVGPAID_900_1000_ANNUAL2026.xlsx / 默认 / 第31行 / SHA256 44248e7a1cd2c7ffa97ace3220c7a10533144ffb18c92cad74b013fe24339819</x:v>
      </x:c>
    </x:row>
    <x:row r="42" ht="58" customHeight="1">
      <x:c r="A42" s="23" t="str">
        <x:v>971975750368</x:v>
      </x:c>
      <x:c r="B42" s="22"/>
      <x:c r="C42" s="22"/>
      <x:c r="D42" s="22"/>
      <x:c r="E42" s="9" t="str">
        <x:v>贴合度未明确</x:v>
      </x:c>
      <x:c r="F42" s="9" t="str">
        <x:v>长裤</x:v>
      </x:c>
      <x:c r="G42" s="9" t="str">
        <x:v>打底长裤</x:v>
      </x:c>
      <x:c r="H42" s="9" t="str">
        <x:v>女</x:v>
      </x:c>
      <x:c r="I42" s="9" t="str">
        <x:v>国内现货 日本品牌 evam eva 羊绒棉针织打底裤秋冬</x:v>
      </x:c>
      <x:c r="J42" s="9" t="str">
        <x:v>未提供品牌</x:v>
      </x:c>
      <x:c r="K42" s="24" t="n">
        <x:v>1130</x:v>
      </x:c>
      <x:c r="L42" s="25" t="e">
        <x:f>HYPERLINK("https://item.taobao.com/item.htm?id=971975750368","打开商品")</x:f>
        <x:v>HYPERLINK is not implemented. linkLocation=https://item.taobao.com/item.htm?id=971975750368, friendlyName=打开商品</x:v>
      </x:c>
      <x:c r="M42" s="25" t="e">
        <x:f>HYPERLINK("https://data.zhiyitech.cn/itemDetail/overview/base?itemId=971975750368","打开知衣")</x:f>
        <x:v>HYPERLINK is not implemented. linkLocation=https://data.zhiyitech.cn/itemDetail/overview/base?itemId=971975750368, friendlyName=打开知衣</x:v>
      </x:c>
      <x:c r="N42" s="25" t="e">
        <x:f>HYPERLINK("https://img.alicdn.com/i3/65235195/O1CN01PkyO001oFMeK77502_!!65235195.jpg","查看主图")</x:f>
        <x:v>HYPERLINK is not implemented. linkLocation=https://img.alicdn.com/i3/65235195/O1CN01PkyO001oFMeK77502_!!65235195.jpg, friendlyName=查看主图</x:v>
      </x:c>
      <x:c r="O42" s="9" t="str">
        <x:v>标题及既有类目语义复核；国内现货 日本品牌 evam eva 羊绒棉针织打底裤秋冬；标题及普通服装来源显示打底/内搭裤，未提供瑜伽用途或紧身证据；按已知内搭长裤展示，贴合度保留未知。</x:v>
      </x:c>
      <x:c r="P42" s="9" t="str">
        <x:v>普通男女装</x:v>
      </x:c>
      <x:c r="Q42" s="9" t="str">
        <x:v>W_LEGGINGS_AVGPAID_1100_1200_ANNUAL2026.xlsx</x:v>
      </x:c>
      <x:c r="R42" s="9" t="str">
        <x:v>默认</x:v>
      </x:c>
      <x:c r="S42" s="9" t="n">
        <x:v>20</x:v>
      </x:c>
      <x:c r="T42" s="9" t="str">
        <x:v>0b0291497b772634bf332e41b6fd42920a94f3a0263968018023d35e3ca7e7c4</x:v>
      </x:c>
      <x:c r="U42" s="9" t="str">
        <x:v>W_LEGGINGS_AVGPAID_1100_1200_ANNUAL2026</x:v>
      </x:c>
      <x:c r="V42" s="9" t="str">
        <x:v>W_LEGGINGS_AVGPAID_1100_1200_ANNUAL2026.xlsx / 默认 / 第20行 / SHA256 0b0291497b772634bf332e41b6fd42920a94f3a0263968018023d35e3ca7e7c4</x:v>
      </x:c>
    </x:row>
    <x:row r="43" ht="58" customHeight="1">
      <x:c r="A43" s="23" t="str">
        <x:v>983057132277</x:v>
      </x:c>
      <x:c r="B43" s="22"/>
      <x:c r="C43" s="22"/>
      <x:c r="D43" s="22"/>
      <x:c r="E43" s="9" t="str">
        <x:v>贴合度未明确</x:v>
      </x:c>
      <x:c r="F43" s="9" t="str">
        <x:v>长裤</x:v>
      </x:c>
      <x:c r="G43" s="9" t="str">
        <x:v>瑜伽长裤</x:v>
      </x:c>
      <x:c r="H43" s="9" t="str">
        <x:v>女</x:v>
      </x:c>
      <x:c r="I43" s="9" t="str">
        <x:v>BLUEDOT  CHEERi UPi   美式校园袜套中腰提臀瑜伽长裤女</x:v>
      </x:c>
      <x:c r="J43" s="9" t="str">
        <x:v>未提供品牌</x:v>
      </x:c>
      <x:c r="K43" s="24" t="n">
        <x:v>994</x:v>
      </x:c>
      <x:c r="L43" s="25" t="e">
        <x:f>HYPERLINK("https://item.taobao.com/item.htm?id=983057132277","打开商品")</x:f>
        <x:v>HYPERLINK is not implemented. linkLocation=https://item.taobao.com/item.htm?id=983057132277, friendlyName=打开商品</x:v>
      </x:c>
      <x:c r="M43" s="25" t="e">
        <x:f>HYPERLINK("https://data.zhiyitech.cn/itemDetail/overview/base?itemId=983057132277","打开知衣")</x:f>
        <x:v>HYPERLINK is not implemented. linkLocation=https://data.zhiyitech.cn/itemDetail/overview/base?itemId=983057132277, friendlyName=打开知衣</x:v>
      </x:c>
      <x:c r="N43" s="25" t="e">
        <x:f>HYPERLINK("https://img.alicdn.com/i1/2201220421889/O1CN01nmNGnu1PpDGL3SGJG_!!2201220421889.jpg","查看主图")</x:f>
        <x:v>HYPERLINK is not implemented. linkLocation=https://img.alicdn.com/i1/2201220421889/O1CN01nmNGnu1PpDGL3SGJG_!!2201220421889.jpg, friendlyName=查看主图</x:v>
      </x:c>
      <x:c r="O43" s="9" t="str">
        <x:v>标题及既有类目语义复核；BLUEDOT  CHEERi UPi   美式校园袜套中腰提臀瑜伽长裤女；标题及原类目明确瑜伽/健身长裤，但无足够贴合度证据；按瑜伽长裤展示，不强归legging。</x:v>
      </x:c>
      <x:c r="P43" s="9" t="str">
        <x:v>普通男女装</x:v>
      </x:c>
      <x:c r="Q43" s="9" t="str">
        <x:v>W_LEGGINGS_AVGPAID_900_1000_ANNUAL2026.xlsx</x:v>
      </x:c>
      <x:c r="R43" s="9" t="str">
        <x:v>默认</x:v>
      </x:c>
      <x:c r="S43" s="9" t="n">
        <x:v>30</x:v>
      </x:c>
      <x:c r="T43" s="9" t="str">
        <x:v>44248e7a1cd2c7ffa97ace3220c7a10533144ffb18c92cad74b013fe24339819</x:v>
      </x:c>
      <x:c r="U43" s="9" t="str">
        <x:v>W_LEGGINGS_AVGPAID_900_1000_ANNUAL2026</x:v>
      </x:c>
      <x:c r="V43" s="9" t="str">
        <x:v>W_LEGGINGS_AVGPAID_900_1000_ANNUAL2026.xlsx / 默认 / 第30行 / SHA256 44248e7a1cd2c7ffa97ace3220c7a10533144ffb18c92cad74b013fe24339819</x:v>
      </x:c>
    </x:row>
    <x:row r="44" ht="58" customHeight="1">
      <x:c r="A44" s="23" t="str">
        <x:v>993804195672</x:v>
      </x:c>
      <x:c r="B44" s="22"/>
      <x:c r="C44" s="22"/>
      <x:c r="D44" s="22"/>
      <x:c r="E44" s="9" t="str">
        <x:v>贴合度未明确</x:v>
      </x:c>
      <x:c r="F44" s="9" t="str">
        <x:v>长裤</x:v>
      </x:c>
      <x:c r="G44" s="9" t="str">
        <x:v>打底长裤</x:v>
      </x:c>
      <x:c r="H44" s="9" t="str">
        <x:v>女</x:v>
      </x:c>
      <x:c r="I44" s="9" t="str">
        <x:v>YOENMOM·康赛妮80支3股精纺100山羊绒柔糯亲肤保暖打底裤</x:v>
      </x:c>
      <x:c r="J44" s="9" t="str">
        <x:v>未提供品牌</x:v>
      </x:c>
      <x:c r="K44" s="24" t="n">
        <x:v>998</x:v>
      </x:c>
      <x:c r="L44" s="25" t="e">
        <x:f>HYPERLINK("https://item.taobao.com/item.htm?id=993804195672","打开商品")</x:f>
        <x:v>HYPERLINK is not implemented. linkLocation=https://item.taobao.com/item.htm?id=993804195672, friendlyName=打开商品</x:v>
      </x:c>
      <x:c r="M44" s="25" t="e">
        <x:f>HYPERLINK("https://data.zhiyitech.cn/itemDetail/overview/base?itemId=993804195672","打开知衣")</x:f>
        <x:v>HYPERLINK is not implemented. linkLocation=https://data.zhiyitech.cn/itemDetail/overview/base?itemId=993804195672, friendlyName=打开知衣</x:v>
      </x:c>
      <x:c r="N44" s="25" t="e">
        <x:f>HYPERLINK("https://img.alicdn.com/i1/2928745972/O1CN01reMeSo1tzEPVZ7Oki_!!2928745972.jpg","查看主图")</x:f>
        <x:v>HYPERLINK is not implemented. linkLocation=https://img.alicdn.com/i1/2928745972/O1CN01reMeSo1tzEPVZ7Oki_!!2928745972.jpg, friendlyName=查看主图</x:v>
      </x:c>
      <x:c r="O44" s="9" t="str">
        <x:v>标题及既有类目语义复核；YOENMOM·康赛妮80支3股精纺100山羊绒柔糯亲肤保暖打底裤；标题及普通服装来源显示打底/内搭裤，未提供瑜伽用途或紧身证据；按已知内搭长裤展示，贴合度保留未知。</x:v>
      </x:c>
      <x:c r="P44" s="9" t="str">
        <x:v>普通男女装</x:v>
      </x:c>
      <x:c r="Q44" s="9" t="str">
        <x:v>W_LEGGINGS_AVGPAID_900_1000_ANNUAL2026.xlsx</x:v>
      </x:c>
      <x:c r="R44" s="9" t="str">
        <x:v>默认</x:v>
      </x:c>
      <x:c r="S44" s="9" t="n">
        <x:v>3</x:v>
      </x:c>
      <x:c r="T44" s="9" t="str">
        <x:v>44248e7a1cd2c7ffa97ace3220c7a10533144ffb18c92cad74b013fe24339819</x:v>
      </x:c>
      <x:c r="U44" s="9" t="str">
        <x:v>W_LEGGINGS_AVGPAID_900_1000_ANNUAL2026</x:v>
      </x:c>
      <x:c r="V44" s="9" t="str">
        <x:v>W_LEGGINGS_AVGPAID_900_1000_ANNUAL2026.xlsx / 默认 / 第3行 / SHA256 44248e7a1cd2c7ffa97ace3220c7a10533144ffb18c92cad74b013fe24339819</x:v>
      </x:c>
    </x:row>
    <x:row r="45" ht="58" customHeight="1">
      <x:c r="A45" s="23" t="str">
        <x:v>1019453073950</x:v>
      </x:c>
      <x:c r="B45" s="22"/>
      <x:c r="C45" s="22"/>
      <x:c r="D45" s="22"/>
      <x:c r="E45" s="9" t="str">
        <x:v>长短款混售，需确认各变体裙长</x:v>
      </x:c>
      <x:c r="F45" s="9" t="str">
        <x:v>裙装</x:v>
      </x:c>
      <x:c r="G45" s="9" t="str">
        <x:v>长短款半身裙</x:v>
      </x:c>
      <x:c r="H45" s="9" t="str">
        <x:v>女</x:v>
      </x:c>
      <x:c r="I45" s="9" t="str">
        <x:v>CHANDOOIVY高奢绵羊皮手工抓皱肌理表面松紧高腰长短款皮半裙</x:v>
      </x:c>
      <x:c r="J45" s="9" t="str">
        <x:v>CHANDOOIVY</x:v>
      </x:c>
      <x:c r="K45" s="24" t="n">
        <x:v>1542.14</x:v>
      </x:c>
      <x:c r="L45" s="25" t="e">
        <x:f>HYPERLINK("https://item.taobao.com/item.htm?id=1019453073950","打开商品")</x:f>
        <x:v>HYPERLINK is not implemented. linkLocation=https://item.taobao.com/item.htm?id=1019453073950, friendlyName=打开商品</x:v>
      </x:c>
      <x:c r="M45" s="25" t="e">
        <x:f>HYPERLINK("https://data.zhiyitech.cn/itemDetail/overview/base?itemId=1019453073950","打开知衣")</x:f>
        <x:v>HYPERLINK is not implemented. linkLocation=https://data.zhiyitech.cn/itemDetail/overview/base?itemId=1019453073950, friendlyName=打开知衣</x:v>
      </x:c>
      <x:c r="N45" s="25" t="e">
        <x:f>HYPERLINK("https://img.alicdn.com/bao/uploaded/i2/356392931/O1CN01XmqrJM1XWRzUChsT1_!!356392931.jpg","查看主图")</x:f>
        <x:v>HYPERLINK is not implemented. linkLocation=https://img.alicdn.com/bao/uploaded/i2/356392931/O1CN01XmqrJM1XWRzUChsT1_!!356392931.jpg, friendlyName=查看主图</x:v>
      </x:c>
      <x:c r="O45" s="9" t="str">
        <x:v>标题及既有类目语义复核；CHANDOOIVY高奢绵羊皮手工抓皱肌理表面松紧高腰长短款皮半裙；标题同时写长短款；归半身裙且保留分SKU裙长，不强选长或短。</x:v>
      </x:c>
      <x:c r="P45" s="9" t="str">
        <x:v>普通男女装</x:v>
      </x:c>
      <x:c r="Q45" s="9" t="str">
        <x:v>W_SKIRTS_AVGPAID_1500_1600_ANNUAL2026.xlsx</x:v>
      </x:c>
      <x:c r="R45" s="9" t="str">
        <x:v>默认</x:v>
      </x:c>
      <x:c r="S45" s="9" t="n">
        <x:v>75</x:v>
      </x:c>
      <x:c r="T45" s="9" t="str">
        <x:v>deede8b56943df4f914be45dba170f12e69064023d6ef0e88dbde1764f6ba23e</x:v>
      </x:c>
      <x:c r="U45" s="9" t="str">
        <x:v>W_SKIRTS_AVGPAID_1500_1600_ANNUAL2026</x:v>
      </x:c>
      <x:c r="V45" s="9" t="str">
        <x:v>W_SKIRTS_AVGPAID_1500_1600_ANNUAL2026.xlsx / 默认 / 第75行 / SHA256 deede8b56943df4f914be45dba170f12e69064023d6ef0e88dbde1764f6ba23e</x:v>
      </x:c>
    </x:row>
    <x:row r="46" ht="58" customHeight="1">
      <x:c r="A46" s="23" t="str">
        <x:v>1052748172210</x:v>
      </x:c>
      <x:c r="B46" s="22"/>
      <x:c r="C46" s="22"/>
      <x:c r="D46" s="22"/>
      <x:c r="E46" s="9" t="str">
        <x:v>长短款混售，需确认各变体裤长</x:v>
      </x:c>
      <x:c r="F46" s="9" t="str">
        <x:v>长裤；短裤</x:v>
      </x:c>
      <x:c r="G46" s="9" t="str">
        <x:v>长短款工装裤</x:v>
      </x:c>
      <x:c r="H46" s="9" t="str">
        <x:v>女</x:v>
      </x:c>
      <x:c r="I46" s="9" t="str">
        <x:v>SHORT SENTENCE设计师26早秋新款宽松休闲水洗工装短/长裤 SOLSOL</x:v>
      </x:c>
      <x:c r="J46" s="9" t="str">
        <x:v>未提供品牌</x:v>
      </x:c>
      <x:c r="K46" s="24" t="n">
        <x:v>1186.28</x:v>
      </x:c>
      <x:c r="L46" s="25" t="e">
        <x:f>HYPERLINK("https://item.taobao.com/item.htm?id=1052748172210","打开商品")</x:f>
        <x:v>HYPERLINK is not implemented. linkLocation=https://item.taobao.com/item.htm?id=1052748172210, friendlyName=打开商品</x:v>
      </x:c>
      <x:c r="M46" s="25" t="e">
        <x:f>HYPERLINK("https://data.zhiyitech.cn/itemDetail/overview/base?itemId=1052748172210","打开知衣")</x:f>
        <x:v>HYPERLINK is not implemented. linkLocation=https://data.zhiyitech.cn/itemDetail/overview/base?itemId=1052748172210, friendlyName=打开知衣</x:v>
      </x:c>
      <x:c r="N46" s="25" t="e">
        <x:f>HYPERLINK("https://img.alicdn.com/bao/uploaded/i1/158221013/O1CN01o4WQbW1JM0M4knJDC_!!158221013.jpg","查看主图")</x:f>
        <x:v>HYPERLINK is not implemented. linkLocation=https://img.alicdn.com/bao/uploaded/i1/158221013/O1CN01o4WQbW1JM0M4knJDC_!!158221013.jpg, friendlyName=查看主图</x:v>
      </x:c>
      <x:c r="O46" s="9" t="str">
        <x:v>标题及既有类目语义复核；SHORT SENTENCE设计师26早秋新款宽松休闲水洗工装短/长裤 SOLSOL；标题明确短/长裤为混合长度商品，不因品牌 SHORT SENTENCE 判短裤；长度须按SKU进一步区分。</x:v>
      </x:c>
      <x:c r="P46" s="9" t="str">
        <x:v>普通男女装</x:v>
      </x:c>
      <x:c r="Q46" s="9" t="str">
        <x:v>W_SHORTS_AVGPAID_1100_1200_ANNUAL2026.xlsx</x:v>
      </x:c>
      <x:c r="R46" s="9" t="str">
        <x:v>默认</x:v>
      </x:c>
      <x:c r="S46" s="9" t="n">
        <x:v>41</x:v>
      </x:c>
      <x:c r="T46" s="9" t="str">
        <x:v>96add22c0ee0a918aac9d89cc6986c034af5eda48d7a1b84aefe2784e127051b</x:v>
      </x:c>
      <x:c r="U46" s="9" t="str">
        <x:v>W_SHORTS_AVGPAID_1100_1200_ANNUAL2026</x:v>
      </x:c>
      <x:c r="V46" s="9" t="str">
        <x:v>W_SHORTS_AVGPAID_1100_1200_ANNUAL2026.xlsx / 默认 / 第41行 / SHA256 96add22c0ee0a918aac9d89cc6986c034af5eda48d7a1b84aefe2784e127051b</x:v>
      </x:c>
    </x:row>
    <x:row r="47" ht="58" customHeight="1">
      <x:c r="A47" s="23" t="str">
        <x:v>1072316849711</x:v>
      </x:c>
      <x:c r="B47" s="22"/>
      <x:c r="C47" s="22"/>
      <x:c r="D47" s="22"/>
      <x:c r="E47" s="9" t="str">
        <x:v>裙长未明确</x:v>
      </x:c>
      <x:c r="F47" s="9" t="str">
        <x:v>裙装</x:v>
      </x:c>
      <x:c r="G47" s="9" t="str">
        <x:v>半身裙</x:v>
      </x:c>
      <x:c r="H47" s="9" t="str">
        <x:v>女</x:v>
      </x:c>
      <x:c r="I47" s="9" t="str">
        <x:v>13DE MARZO女士 2026秋冬新款立体蝴蝶结绑带西装中裙显瘦半身裙</x:v>
      </x:c>
      <x:c r="J47" s="9" t="str">
        <x:v>13DEMARZO</x:v>
      </x:c>
      <x:c r="K47" s="24" t="n">
        <x:v>1589.81</x:v>
      </x:c>
      <x:c r="L47" s="25" t="e">
        <x:f>HYPERLINK("https://item.taobao.com/item.htm?id=1072316849711","打开商品")</x:f>
        <x:v>HYPERLINK is not implemented. linkLocation=https://item.taobao.com/item.htm?id=1072316849711, friendlyName=打开商品</x:v>
      </x:c>
      <x:c r="M47" s="25" t="e">
        <x:f>HYPERLINK("https://data.zhiyitech.cn/itemDetail/overview/base?itemId=1072316849711","打开知衣")</x:f>
        <x:v>HYPERLINK is not implemented. linkLocation=https://data.zhiyitech.cn/itemDetail/overview/base?itemId=1072316849711, friendlyName=打开知衣</x:v>
      </x:c>
      <x:c r="N47" s="25" t="e">
        <x:f>HYPERLINK("https://img.alicdn.com/bao/uploaded/i1/2215713954137/O1CN012lP3N6B4E5B2vH2e_!!2215713954137.jpg","查看主图")</x:f>
        <x:v>HYPERLINK is not implemented. linkLocation=https://img.alicdn.com/bao/uploaded/i1/2215713954137/O1CN012lP3N6B4E5B2vH2e_!!2215713954137.jpg, friendlyName=查看主图</x:v>
      </x:c>
      <x:c r="O47" s="9" t="str">
        <x:v>标题及既有类目语义复核；13DE MARZO女士 2026秋冬新款立体蝴蝶结绑带西装中裙显瘦半身裙；原类目及标题已能确认半身裙；展示使用已知大类，未知裙长下沉到结构字段，不强猜长短。</x:v>
      </x:c>
      <x:c r="P47" s="9" t="str">
        <x:v>普通男女装</x:v>
      </x:c>
      <x:c r="Q47" s="9" t="str">
        <x:v>W_SKIRTS_AVGPAID_1500_1600_ANNUAL2026.xlsx</x:v>
      </x:c>
      <x:c r="R47" s="9" t="str">
        <x:v>默认</x:v>
      </x:c>
      <x:c r="S47" s="9" t="n">
        <x:v>322</x:v>
      </x:c>
      <x:c r="T47" s="9" t="str">
        <x:v>deede8b56943df4f914be45dba170f12e69064023d6ef0e88dbde1764f6ba23e</x:v>
      </x:c>
      <x:c r="U47" s="9" t="str">
        <x:v>W_SKIRTS_AVGPAID_1500_1600_ANNUAL2026</x:v>
      </x:c>
      <x:c r="V47" s="9" t="str">
        <x:v>W_SKIRTS_AVGPAID_1500_1600_ANNUAL2026.xlsx / 默认 / 第322行 / SHA256 deede8b56943df4f914be45dba170f12e69064023d6ef0e88dbde1764f6ba23e</x:v>
      </x:c>
    </x:row>
    <x:row r="48" ht="58" customHeight="1">
      <x:c r="A48" s="23" t="str">
        <x:v>1077866064453</x:v>
      </x:c>
      <x:c r="B48" s="22"/>
      <x:c r="C48" s="22"/>
      <x:c r="D48" s="22"/>
      <x:c r="E48" s="9" t="str">
        <x:v>裙长未明确</x:v>
      </x:c>
      <x:c r="F48" s="9" t="str">
        <x:v>裙装</x:v>
      </x:c>
      <x:c r="G48" s="9" t="str">
        <x:v>半身裙</x:v>
      </x:c>
      <x:c r="H48" s="9" t="str">
        <x:v>女</x:v>
      </x:c>
      <x:c r="I48" s="9" t="str">
        <x:v>13DE MARZO | 滚石乐队联名系列2026秋冬新款格纹印花百褶半身裙</x:v>
      </x:c>
      <x:c r="J48" s="9" t="str">
        <x:v>13DEMARZO</x:v>
      </x:c>
      <x:c r="K48" s="24" t="n">
        <x:v>1513.28</x:v>
      </x:c>
      <x:c r="L48" s="25" t="e">
        <x:f>HYPERLINK("https://item.taobao.com/item.htm?id=1077866064453","打开商品")</x:f>
        <x:v>HYPERLINK is not implemented. linkLocation=https://item.taobao.com/item.htm?id=1077866064453, friendlyName=打开商品</x:v>
      </x:c>
      <x:c r="M48" s="25" t="e">
        <x:f>HYPERLINK("https://data.zhiyitech.cn/itemDetail/overview/base?itemId=1077866064453","打开知衣")</x:f>
        <x:v>HYPERLINK is not implemented. linkLocation=https://data.zhiyitech.cn/itemDetail/overview/base?itemId=1077866064453, friendlyName=打开知衣</x:v>
      </x:c>
      <x:c r="N48" s="25" t="e">
        <x:f>HYPERLINK("https://img.alicdn.com/bao/uploaded/i4/2215713954137/O1CN01WotJlceqWiC2vH2e_!!2215713954137.jpg","查看主图")</x:f>
        <x:v>HYPERLINK is not implemented. linkLocation=https://img.alicdn.com/bao/uploaded/i4/2215713954137/O1CN01WotJlceqWiC2vH2e_!!2215713954137.jpg, friendlyName=查看主图</x:v>
      </x:c>
      <x:c r="O48" s="9" t="str">
        <x:v>标题及既有类目语义复核；13DE MARZO | 滚石乐队联名系列2026秋冬新款格纹印花百褶半身裙；原类目及标题已能确认半身裙；展示使用已知大类，未知裙长下沉到结构字段，不强猜长短。</x:v>
      </x:c>
      <x:c r="P48" s="9" t="str">
        <x:v>普通男女装</x:v>
      </x:c>
      <x:c r="Q48" s="9" t="str">
        <x:v>W_SKIRTS_AVGPAID_1500_1600_ANNUAL2026.xlsx</x:v>
      </x:c>
      <x:c r="R48" s="9" t="str">
        <x:v>默认</x:v>
      </x:c>
      <x:c r="S48" s="9" t="n">
        <x:v>114</x:v>
      </x:c>
      <x:c r="T48" s="9" t="str">
        <x:v>deede8b56943df4f914be45dba170f12e69064023d6ef0e88dbde1764f6ba23e</x:v>
      </x:c>
      <x:c r="U48" s="9" t="str">
        <x:v>W_SKIRTS_AVGPAID_1500_1600_ANNUAL2026</x:v>
      </x:c>
      <x:c r="V48" s="9" t="str">
        <x:v>W_SKIRTS_AVGPAID_1500_1600_ANNUAL2026.xlsx / 默认 / 第114行 / SHA256 deede8b56943df4f914be45dba170f12e69064023d6ef0e88dbde1764f6ba23e</x:v>
      </x:c>
    </x:row>
    <x:row r="49" ht="58" customHeight="1">
      <x:c r="A49" s="23" t="str">
        <x:v>893360987543</x:v>
      </x:c>
      <x:c r="B49" s="22"/>
      <x:c r="C49" s="22"/>
      <x:c r="D49" s="22"/>
      <x:c r="E49" s="9" t="str">
        <x:v>裙长未明确</x:v>
      </x:c>
      <x:c r="F49" s="9" t="str">
        <x:v>裙装</x:v>
      </x:c>
      <x:c r="G49" s="9" t="str">
        <x:v>半身裙</x:v>
      </x:c>
      <x:c r="H49" s="9" t="str">
        <x:v>女</x:v>
      </x:c>
      <x:c r="I49" s="9" t="str">
        <x:v>13DE MARZO蕾丝小熊蓬蓬花苞裙</x:v>
      </x:c>
      <x:c r="J49" s="9" t="str">
        <x:v>13DEMARZO</x:v>
      </x:c>
      <x:c r="K49" s="24" t="n">
        <x:v>1583.15</x:v>
      </x:c>
      <x:c r="L49" s="25" t="e">
        <x:f>HYPERLINK("https://item.taobao.com/item.htm?id=893360987543","打开商品")</x:f>
        <x:v>HYPERLINK is not implemented. linkLocation=https://item.taobao.com/item.htm?id=893360987543, friendlyName=打开商品</x:v>
      </x:c>
      <x:c r="M49" s="25" t="e">
        <x:f>HYPERLINK("https://data.zhiyitech.cn/itemDetail/overview/base?itemId=893360987543","打开知衣")</x:f>
        <x:v>HYPERLINK is not implemented. linkLocation=https://data.zhiyitech.cn/itemDetail/overview/base?itemId=893360987543, friendlyName=打开知衣</x:v>
      </x:c>
      <x:c r="N49" s="25" t="e">
        <x:f>HYPERLINK("https://img.alicdn.com/bao/uploaded/i1/2215713954137/O1CN01etytcVeaCSD2vH2e_!!2215713954137.jpg","查看主图")</x:f>
        <x:v>HYPERLINK is not implemented. linkLocation=https://img.alicdn.com/bao/uploaded/i1/2215713954137/O1CN01etytcVeaCSD2vH2e_!!2215713954137.jpg, friendlyName=查看主图</x:v>
      </x:c>
      <x:c r="O49" s="9" t="str">
        <x:v>标题及既有类目语义复核；13DE MARZO蕾丝小熊蓬蓬花苞裙；原类目及标题已能确认半身裙；展示使用已知大类，未知裙长下沉到结构字段，不强猜长短。</x:v>
      </x:c>
      <x:c r="P49" s="9" t="str">
        <x:v>普通男女装</x:v>
      </x:c>
      <x:c r="Q49" s="9" t="str">
        <x:v>W_SKIRTS_AVGPAID_1500_1600_ANNUAL2026.xlsx</x:v>
      </x:c>
      <x:c r="R49" s="9" t="str">
        <x:v>默认</x:v>
      </x:c>
      <x:c r="S49" s="9" t="n">
        <x:v>84</x:v>
      </x:c>
      <x:c r="T49" s="9" t="str">
        <x:v>deede8b56943df4f914be45dba170f12e69064023d6ef0e88dbde1764f6ba23e</x:v>
      </x:c>
      <x:c r="U49" s="9" t="str">
        <x:v>W_SKIRTS_AVGPAID_1500_1600_ANNUAL2026</x:v>
      </x:c>
      <x:c r="V49" s="9" t="str">
        <x:v>W_SKIRTS_AVGPAID_1500_1600_ANNUAL2026.xlsx / 默认 / 第84行 / SHA256 deede8b56943df4f914be45dba170f12e69064023d6ef0e88dbde1764f6ba23e</x:v>
      </x:c>
    </x:row>
    <x:row r="50" ht="58" customHeight="1">
      <x:c r="A50" s="23" t="str">
        <x:v>904682481053</x:v>
      </x:c>
      <x:c r="B50" s="22"/>
      <x:c r="C50" s="22"/>
      <x:c r="D50" s="22"/>
      <x:c r="E50" s="9" t="str">
        <x:v>裙长未明确</x:v>
      </x:c>
      <x:c r="F50" s="9" t="str">
        <x:v>裙装</x:v>
      </x:c>
      <x:c r="G50" s="9" t="str">
        <x:v>半身裙</x:v>
      </x:c>
      <x:c r="H50" s="9" t="str">
        <x:v>女</x:v>
      </x:c>
      <x:c r="I50" s="9" t="str">
        <x:v>13DE MARZO晒伤小熊时尚百褶裙</x:v>
      </x:c>
      <x:c r="J50" s="9" t="str">
        <x:v>13DEMARZO</x:v>
      </x:c>
      <x:c r="K50" s="24" t="n">
        <x:v>1320.22</x:v>
      </x:c>
      <x:c r="L50" s="25" t="e">
        <x:f>HYPERLINK("https://item.taobao.com/item.htm?id=904682481053","打开商品")</x:f>
        <x:v>HYPERLINK is not implemented. linkLocation=https://item.taobao.com/item.htm?id=904682481053, friendlyName=打开商品</x:v>
      </x:c>
      <x:c r="M50" s="25" t="e">
        <x:f>HYPERLINK("https://data.zhiyitech.cn/itemDetail/overview/base?itemId=904682481053","打开知衣")</x:f>
        <x:v>HYPERLINK is not implemented. linkLocation=https://data.zhiyitech.cn/itemDetail/overview/base?itemId=904682481053, friendlyName=打开知衣</x:v>
      </x:c>
      <x:c r="N50" s="25" t="e">
        <x:f>HYPERLINK("https://img.alicdn.com/bao/uploaded/i4/2215713954137/O1CN01eErg771gQne2cRvqh_!!4611686018427386201-0-item_pic.jpg","查看主图")</x:f>
        <x:v>HYPERLINK is not implemented. linkLocation=https://img.alicdn.com/bao/uploaded/i4/2215713954137/O1CN01eErg771gQne2cRvqh_!!4611686018427386201-0-item_pic.jpg, friendlyName=查看主图</x:v>
      </x:c>
      <x:c r="O50" s="9" t="str">
        <x:v>标题及既有类目语义复核；13DE MARZO晒伤小熊时尚百褶裙；原类目及标题已能确认半身裙；展示使用已知大类，未知裙长下沉到结构字段，不强猜长短。</x:v>
      </x:c>
      <x:c r="P50" s="9" t="str">
        <x:v>普通男女装</x:v>
      </x:c>
      <x:c r="Q50" s="9" t="str">
        <x:v>W_SKIRTS_AVGPAID_1300_1400_ANNUAL2026.xlsx</x:v>
      </x:c>
      <x:c r="R50" s="9" t="str">
        <x:v>默认</x:v>
      </x:c>
      <x:c r="S50" s="9" t="n">
        <x:v>381</x:v>
      </x:c>
      <x:c r="T50" s="9" t="str">
        <x:v>bd4dae1e08e9eca7ddd0669235bf59107cdc418b9c2898fc16f36a7ab5748692</x:v>
      </x:c>
      <x:c r="U50" s="9" t="str">
        <x:v>W_SKIRTS_AVGPAID_1300_1400_ANNUAL2026</x:v>
      </x:c>
      <x:c r="V50" s="9" t="str">
        <x:v>W_SKIRTS_AVGPAID_1300_1400_ANNUAL2026.xlsx / 默认 / 第381行 / SHA256 bd4dae1e08e9eca7ddd0669235bf59107cdc418b9c2898fc16f36a7ab5748692</x:v>
      </x:c>
    </x:row>
    <x:row r="51" ht="58" customHeight="1">
      <x:c r="A51" s="23" t="str">
        <x:v>972827264782</x:v>
      </x:c>
      <x:c r="B51" s="22"/>
      <x:c r="C51" s="22"/>
      <x:c r="D51" s="22"/>
      <x:c r="E51" s="9" t="str">
        <x:v>裙长未明确</x:v>
      </x:c>
      <x:c r="F51" s="9" t="str">
        <x:v>裙装</x:v>
      </x:c>
      <x:c r="G51" s="9" t="str">
        <x:v>半身裙</x:v>
      </x:c>
      <x:c r="H51" s="9" t="str">
        <x:v>女</x:v>
      </x:c>
      <x:c r="I51" s="9" t="str">
        <x:v>【特享7折】13DE MARZO女士 裁缝熊多色拉链装饰中裙街头半身裙</x:v>
      </x:c>
      <x:c r="J51" s="9" t="str">
        <x:v>13DEMARZO</x:v>
      </x:c>
      <x:c r="K51" s="24" t="n">
        <x:v>1707.99</x:v>
      </x:c>
      <x:c r="L51" s="25" t="e">
        <x:f>HYPERLINK("https://item.taobao.com/item.htm?id=972827264782","打开商品")</x:f>
        <x:v>HYPERLINK is not implemented. linkLocation=https://item.taobao.com/item.htm?id=972827264782, friendlyName=打开商品</x:v>
      </x:c>
      <x:c r="M51" s="25" t="e">
        <x:f>HYPERLINK("https://data.zhiyitech.cn/itemDetail/overview/base?itemId=972827264782","打开知衣")</x:f>
        <x:v>HYPERLINK is not implemented. linkLocation=https://data.zhiyitech.cn/itemDetail/overview/base?itemId=972827264782, friendlyName=打开知衣</x:v>
      </x:c>
      <x:c r="N51" s="25" t="e">
        <x:f>HYPERLINK("https://img.alicdn.com/bao/uploaded/i1/2215713954137/O1CN01gxTzifiaevG1chua_!!2215713954137.jpg","查看主图")</x:f>
        <x:v>HYPERLINK is not implemented. linkLocation=https://img.alicdn.com/bao/uploaded/i1/2215713954137/O1CN01gxTzifiaevG1chua_!!2215713954137.jpg, friendlyName=查看主图</x:v>
      </x:c>
      <x:c r="O51" s="9" t="str">
        <x:v>标题及既有类目语义复核；【特享7折】13DE MARZO女士 裁缝熊多色拉链装饰中裙街头半身裙；原类目及标题已能确认半身裙；展示使用已知大类，未知裙长下沉到结构字段，不强猜长短。</x:v>
      </x:c>
      <x:c r="P51" s="9" t="str">
        <x:v>普通男女装</x:v>
      </x:c>
      <x:c r="Q51" s="9" t="str">
        <x:v>W_SKIRTS_AVGPAID_1700_1800_ANNUAL2026.xlsx</x:v>
      </x:c>
      <x:c r="R51" s="9" t="str">
        <x:v>默认</x:v>
      </x:c>
      <x:c r="S51" s="9" t="n">
        <x:v>237</x:v>
      </x:c>
      <x:c r="T51" s="9" t="str">
        <x:v>c25ed77c53c7c5cfcf728778a0e9b297d8689503f62756a939cbd534ca9b587a</x:v>
      </x:c>
      <x:c r="U51" s="9" t="str">
        <x:v>W_SKIRTS_AVGPAID_1700_1800_ANNUAL2026</x:v>
      </x:c>
      <x:c r="V51" s="9" t="str">
        <x:v>W_SKIRTS_AVGPAID_1700_1800_ANNUAL2026.xlsx / 默认 / 第237行 / SHA256 c25ed77c53c7c5cfcf728778a0e9b297d8689503f62756a939cbd534ca9b587a</x:v>
      </x:c>
    </x:row>
    <x:row r="52" ht="58" customHeight="1">
      <x:c r="A52" s="23" t="str">
        <x:v>980782322317</x:v>
      </x:c>
      <x:c r="B52" s="22"/>
      <x:c r="C52" s="22"/>
      <x:c r="D52" s="22"/>
      <x:c r="E52" s="9" t="str">
        <x:v>裙长未明确</x:v>
      </x:c>
      <x:c r="F52" s="9" t="str">
        <x:v>裙装</x:v>
      </x:c>
      <x:c r="G52" s="9" t="str">
        <x:v>半身裙</x:v>
      </x:c>
      <x:c r="H52" s="9" t="str">
        <x:v>女</x:v>
      </x:c>
      <x:c r="I52" s="9" t="str">
        <x:v>13DE MARZO针织翻腰拼接百褶裙</x:v>
      </x:c>
      <x:c r="J52" s="9" t="str">
        <x:v>13DEMARZO</x:v>
      </x:c>
      <x:c r="K52" s="24" t="n">
        <x:v>1702.96</x:v>
      </x:c>
      <x:c r="L52" s="25" t="e">
        <x:f>HYPERLINK("https://item.taobao.com/item.htm?id=980782322317","打开商品")</x:f>
        <x:v>HYPERLINK is not implemented. linkLocation=https://item.taobao.com/item.htm?id=980782322317, friendlyName=打开商品</x:v>
      </x:c>
      <x:c r="M52" s="25" t="e">
        <x:f>HYPERLINK("https://data.zhiyitech.cn/itemDetail/overview/base?itemId=980782322317","打开知衣")</x:f>
        <x:v>HYPERLINK is not implemented. linkLocation=https://data.zhiyitech.cn/itemDetail/overview/base?itemId=980782322317, friendlyName=打开知衣</x:v>
      </x:c>
      <x:c r="N52" s="25" t="e">
        <x:f>HYPERLINK("https://img.alicdn.com/bao/uploaded/i2/2215713954137/O1CN01P2DvliIU8ND1chua_!!2215713954137.jpg","查看主图")</x:f>
        <x:v>HYPERLINK is not implemented. linkLocation=https://img.alicdn.com/bao/uploaded/i2/2215713954137/O1CN01P2DvliIU8ND1chua_!!2215713954137.jpg, friendlyName=查看主图</x:v>
      </x:c>
      <x:c r="O52" s="9" t="str">
        <x:v>标题及既有类目语义复核；13DE MARZO针织翻腰拼接百褶裙；原类目及标题已能确认半身裙；展示使用已知大类，未知裙长下沉到结构字段，不强猜长短。</x:v>
      </x:c>
      <x:c r="P52" s="9" t="str">
        <x:v>普通男女装</x:v>
      </x:c>
      <x:c r="Q52" s="9" t="str">
        <x:v>W_SKIRTS_AVGPAID_1700_1800_ANNUAL2026.xlsx</x:v>
      </x:c>
      <x:c r="R52" s="9" t="str">
        <x:v>默认</x:v>
      </x:c>
      <x:c r="S52" s="9" t="n">
        <x:v>120</x:v>
      </x:c>
      <x:c r="T52" s="9" t="str">
        <x:v>c25ed77c53c7c5cfcf728778a0e9b297d8689503f62756a939cbd534ca9b587a</x:v>
      </x:c>
      <x:c r="U52" s="9" t="str">
        <x:v>W_SKIRTS_AVGPAID_1700_1800_ANNUAL2026</x:v>
      </x:c>
      <x:c r="V52" s="9" t="str">
        <x:v>W_SKIRTS_AVGPAID_1700_1800_ANNUAL2026.xlsx / 默认 / 第120行 / SHA256 c25ed77c53c7c5cfcf728778a0e9b297d8689503f62756a939cbd534ca9b587a</x:v>
      </x:c>
    </x:row>
    <x:row r="53" ht="58" customHeight="1">
      <x:c r="A53" s="23" t="str">
        <x:v>802763800703</x:v>
      </x:c>
      <x:c r="B53" s="22"/>
      <x:c r="C53" s="22"/>
      <x:c r="D53" s="22"/>
      <x:c r="E53" s="9" t="str">
        <x:v>裙长未明确</x:v>
      </x:c>
      <x:c r="F53" s="9" t="str">
        <x:v>裙装</x:v>
      </x:c>
      <x:c r="G53" s="9" t="str">
        <x:v>半身裙</x:v>
      </x:c>
      <x:c r="H53" s="9" t="str">
        <x:v>女</x:v>
      </x:c>
      <x:c r="I53" s="9" t="str">
        <x:v>45R女士秋季新款流苏设计纯棉黑麦交叉休闲简约牛仔裙2450540072</x:v>
      </x:c>
      <x:c r="J53" s="9" t="str">
        <x:v>45R</x:v>
      </x:c>
      <x:c r="K53" s="24" t="n">
        <x:v>1313.77</x:v>
      </x:c>
      <x:c r="L53" s="25" t="e">
        <x:f>HYPERLINK("https://item.taobao.com/item.htm?id=802763800703","打开商品")</x:f>
        <x:v>HYPERLINK is not implemented. linkLocation=https://item.taobao.com/item.htm?id=802763800703, friendlyName=打开商品</x:v>
      </x:c>
      <x:c r="M53" s="25" t="e">
        <x:f>HYPERLINK("https://data.zhiyitech.cn/itemDetail/overview/base?itemId=802763800703","打开知衣")</x:f>
        <x:v>HYPERLINK is not implemented. linkLocation=https://data.zhiyitech.cn/itemDetail/overview/base?itemId=802763800703, friendlyName=打开知衣</x:v>
      </x:c>
      <x:c r="N53" s="25" t="e">
        <x:f>HYPERLINK("https://img.alicdn.com/bao/uploaded/i4/2214031833397/O1CN011UDXqz9pi7E1chua_!!4611686018427386165-0-item_pic.jpg","查看主图")</x:f>
        <x:v>HYPERLINK is not implemented. linkLocation=https://img.alicdn.com/bao/uploaded/i4/2214031833397/O1CN011UDXqz9pi7E1chua_!!4611686018427386165-0-item_pic.jpg, friendlyName=查看主图</x:v>
      </x:c>
      <x:c r="O53" s="9" t="str">
        <x:v>标题及既有类目语义复核；45R女士秋季新款流苏设计纯棉黑麦交叉休闲简约牛仔裙2450540072；原类目及标题已能确认半身裙；展示使用已知大类，未知裙长下沉到结构字段，不强猜长短。</x:v>
      </x:c>
      <x:c r="P53" s="9" t="str">
        <x:v>普通男女装</x:v>
      </x:c>
      <x:c r="Q53" s="9" t="str">
        <x:v>W_SKIRTS_AVGPAID_1300_1400_ANNUAL2026.xlsx</x:v>
      </x:c>
      <x:c r="R53" s="9" t="str">
        <x:v>默认</x:v>
      </x:c>
      <x:c r="S53" s="9" t="n">
        <x:v>164</x:v>
      </x:c>
      <x:c r="T53" s="9" t="str">
        <x:v>bd4dae1e08e9eca7ddd0669235bf59107cdc418b9c2898fc16f36a7ab5748692</x:v>
      </x:c>
      <x:c r="U53" s="9" t="str">
        <x:v>W_SKIRTS_AVGPAID_1300_1400_ANNUAL2026</x:v>
      </x:c>
      <x:c r="V53" s="9" t="str">
        <x:v>W_SKIRTS_AVGPAID_1300_1400_ANNUAL2026.xlsx / 默认 / 第164行 / SHA256 bd4dae1e08e9eca7ddd0669235bf59107cdc418b9c2898fc16f36a7ab5748692</x:v>
      </x:c>
    </x:row>
    <x:row r="54" ht="58" customHeight="1">
      <x:c r="A54" s="23" t="str">
        <x:v>844799537706</x:v>
      </x:c>
      <x:c r="B54" s="22"/>
      <x:c r="C54" s="22"/>
      <x:c r="D54" s="22"/>
      <x:c r="E54" s="9" t="str">
        <x:v>裙长未明确</x:v>
      </x:c>
      <x:c r="F54" s="9" t="str">
        <x:v>裙装</x:v>
      </x:c>
      <x:c r="G54" s="9" t="str">
        <x:v>半身裙</x:v>
      </x:c>
      <x:c r="H54" s="9" t="str">
        <x:v>女</x:v>
      </x:c>
      <x:c r="I54" s="9" t="str">
        <x:v>45R女士新款日系Okome缎面纯棉休闲后开叉简约半身裙2470940173</x:v>
      </x:c>
      <x:c r="J54" s="9" t="str">
        <x:v>45R</x:v>
      </x:c>
      <x:c r="K54" s="24" t="n">
        <x:v>1771.69</x:v>
      </x:c>
      <x:c r="L54" s="25" t="e">
        <x:f>HYPERLINK("https://item.taobao.com/item.htm?id=844799537706","打开商品")</x:f>
        <x:v>HYPERLINK is not implemented. linkLocation=https://item.taobao.com/item.htm?id=844799537706, friendlyName=打开商品</x:v>
      </x:c>
      <x:c r="M54" s="25" t="e">
        <x:f>HYPERLINK("https://data.zhiyitech.cn/itemDetail/overview/base?itemId=844799537706","打开知衣")</x:f>
        <x:v>HYPERLINK is not implemented. linkLocation=https://data.zhiyitech.cn/itemDetail/overview/base?itemId=844799537706, friendlyName=打开知衣</x:v>
      </x:c>
      <x:c r="N54" s="25" t="e">
        <x:f>HYPERLINK("https://img.alicdn.com/bao/uploaded/i4/2214031833397/O1CN01kSnMne1axsag7buEI_!!2214031833397.jpg","查看主图")</x:f>
        <x:v>HYPERLINK is not implemented. linkLocation=https://img.alicdn.com/bao/uploaded/i4/2214031833397/O1CN01kSnMne1axsag7buEI_!!2214031833397.jpg, friendlyName=查看主图</x:v>
      </x:c>
      <x:c r="O54" s="9" t="str">
        <x:v>标题及既有类目语义复核；45R女士新款日系Okome缎面纯棉休闲后开叉简约半身裙2470940173；原类目及标题已能确认半身裙；展示使用已知大类，未知裙长下沉到结构字段，不强猜长短。</x:v>
      </x:c>
      <x:c r="P54" s="9" t="str">
        <x:v>普通男女装</x:v>
      </x:c>
      <x:c r="Q54" s="9" t="str">
        <x:v>W_SKIRTS_AVGPAID_1700_1800_ANNUAL2026.xlsx</x:v>
      </x:c>
      <x:c r="R54" s="9" t="str">
        <x:v>默认</x:v>
      </x:c>
      <x:c r="S54" s="9" t="n">
        <x:v>63</x:v>
      </x:c>
      <x:c r="T54" s="9" t="str">
        <x:v>c25ed77c53c7c5cfcf728778a0e9b297d8689503f62756a939cbd534ca9b587a</x:v>
      </x:c>
      <x:c r="U54" s="9" t="str">
        <x:v>W_SKIRTS_AVGPAID_1700_1800_ANNUAL2026</x:v>
      </x:c>
      <x:c r="V54" s="9" t="str">
        <x:v>W_SKIRTS_AVGPAID_1700_1800_ANNUAL2026.xlsx / 默认 / 第63行 / SHA256 c25ed77c53c7c5cfcf728778a0e9b297d8689503f62756a939cbd534ca9b587a</x:v>
      </x:c>
    </x:row>
    <x:row r="55" ht="58" customHeight="1">
      <x:c r="A55" s="23" t="str">
        <x:v>1017898979624</x:v>
      </x:c>
      <x:c r="B55" s="22"/>
      <x:c r="C55" s="22"/>
      <x:c r="D55" s="22"/>
      <x:c r="E55" s="9" t="str">
        <x:v>裙长未明确</x:v>
      </x:c>
      <x:c r="F55" s="9" t="str">
        <x:v>裙装</x:v>
      </x:c>
      <x:c r="G55" s="9" t="str">
        <x:v>半身裙</x:v>
      </x:c>
      <x:c r="H55" s="9" t="str">
        <x:v>女</x:v>
      </x:c>
      <x:c r="I55" s="9" t="str">
        <x:v>生活在左 鸟戏花间|藏青色优雅绣花肌理感2026春新款宽松半身裙</x:v>
      </x:c>
      <x:c r="J55" s="9" t="str">
        <x:v>A LIFE ON THE LEFT/生活在左</x:v>
      </x:c>
      <x:c r="K55" s="24" t="n">
        <x:v>1348.97</x:v>
      </x:c>
      <x:c r="L55" s="25" t="e">
        <x:f>HYPERLINK("https://item.taobao.com/item.htm?id=1017898979624","打开商品")</x:f>
        <x:v>HYPERLINK is not implemented. linkLocation=https://item.taobao.com/item.htm?id=1017898979624, friendlyName=打开商品</x:v>
      </x:c>
      <x:c r="M55" s="25" t="e">
        <x:f>HYPERLINK("https://data.zhiyitech.cn/itemDetail/overview/base?itemId=1017898979624","打开知衣")</x:f>
        <x:v>HYPERLINK is not implemented. linkLocation=https://data.zhiyitech.cn/itemDetail/overview/base?itemId=1017898979624, friendlyName=打开知衣</x:v>
      </x:c>
      <x:c r="N55" s="25" t="e">
        <x:f>HYPERLINK("https://img.alicdn.com/bao/uploaded/i3/1947403838/O1CN01uQ6ruB1eDrDqQAvVx_!!4611686018427381310-0-item_pic.jpg","查看主图")</x:f>
        <x:v>HYPERLINK is not implemented. linkLocation=https://img.alicdn.com/bao/uploaded/i3/1947403838/O1CN01uQ6ruB1eDrDqQAvVx_!!4611686018427381310-0-item_pic.jpg, friendlyName=查看主图</x:v>
      </x:c>
      <x:c r="O55" s="9" t="str">
        <x:v>标题及既有类目语义复核；生活在左 鸟戏花间|藏青色优雅绣花肌理感2026春新款宽松半身裙；原类目及标题已能确认半身裙；展示使用已知大类，未知裙长下沉到结构字段，不强猜长短。</x:v>
      </x:c>
      <x:c r="P55" s="9" t="str">
        <x:v>普通男女装</x:v>
      </x:c>
      <x:c r="Q55" s="9" t="str">
        <x:v>W_SKIRTS_AVGPAID_1300_1400_ANNUAL2026.xlsx</x:v>
      </x:c>
      <x:c r="R55" s="9" t="str">
        <x:v>默认</x:v>
      </x:c>
      <x:c r="S55" s="9" t="n">
        <x:v>219</x:v>
      </x:c>
      <x:c r="T55" s="9" t="str">
        <x:v>bd4dae1e08e9eca7ddd0669235bf59107cdc418b9c2898fc16f36a7ab5748692</x:v>
      </x:c>
      <x:c r="U55" s="9" t="str">
        <x:v>W_SKIRTS_AVGPAID_1300_1400_ANNUAL2026</x:v>
      </x:c>
      <x:c r="V55" s="9" t="str">
        <x:v>W_SKIRTS_AVGPAID_1300_1400_ANNUAL2026.xlsx / 默认 / 第219行 / SHA256 bd4dae1e08e9eca7ddd0669235bf59107cdc418b9c2898fc16f36a7ab5748692</x:v>
      </x:c>
    </x:row>
    <x:row r="56" ht="58" customHeight="1">
      <x:c r="A56" s="23" t="str">
        <x:v>1044039173178</x:v>
      </x:c>
      <x:c r="B56" s="22"/>
      <x:c r="C56" s="22"/>
      <x:c r="D56" s="22"/>
      <x:c r="E56" s="9" t="str">
        <x:v>裙长未明确</x:v>
      </x:c>
      <x:c r="F56" s="9" t="str">
        <x:v>裙装</x:v>
      </x:c>
      <x:c r="G56" s="9" t="str">
        <x:v>半身裙</x:v>
      </x:c>
      <x:c r="H56" s="9" t="str">
        <x:v>女</x:v>
      </x:c>
      <x:c r="I56" s="9" t="str">
        <x:v>生活在左 闲庭清欢|石青色水墨印花改良马面裙2026夏新款半身裙子</x:v>
      </x:c>
      <x:c r="J56" s="9" t="str">
        <x:v>A LIFE ON THE LEFT/生活在左</x:v>
      </x:c>
      <x:c r="K56" s="24" t="n">
        <x:v>1362.88</x:v>
      </x:c>
      <x:c r="L56" s="25" t="e">
        <x:f>HYPERLINK("https://item.taobao.com/item.htm?id=1044039173178","打开商品")</x:f>
        <x:v>HYPERLINK is not implemented. linkLocation=https://item.taobao.com/item.htm?id=1044039173178, friendlyName=打开商品</x:v>
      </x:c>
      <x:c r="M56" s="25" t="e">
        <x:f>HYPERLINK("https://data.zhiyitech.cn/itemDetail/overview/base?itemId=1044039173178","打开知衣")</x:f>
        <x:v>HYPERLINK is not implemented. linkLocation=https://data.zhiyitech.cn/itemDetail/overview/base?itemId=1044039173178, friendlyName=打开知衣</x:v>
      </x:c>
      <x:c r="N56" s="25" t="e">
        <x:f>HYPERLINK("https://img.alicdn.com/bao/uploaded/i1/1947403838/O1CN010t5yAbD9wUF1chua-1947403838.jpg","查看主图")</x:f>
        <x:v>HYPERLINK is not implemented. linkLocation=https://img.alicdn.com/bao/uploaded/i1/1947403838/O1CN010t5yAbD9wUF1chua-1947403838.jpg, friendlyName=查看主图</x:v>
      </x:c>
      <x:c r="O56" s="9" t="str">
        <x:v>标题及既有类目语义复核；生活在左 闲庭清欢|石青色水墨印花改良马面裙2026夏新款半身裙子；原类目及标题已能确认半身裙；展示使用已知大类，未知裙长下沉到结构字段，不强猜长短。</x:v>
      </x:c>
      <x:c r="P56" s="9" t="str">
        <x:v>普通男女装</x:v>
      </x:c>
      <x:c r="Q56" s="9" t="str">
        <x:v>W_SKIRTS_AVGPAID_1300_1400_ANNUAL2026.xlsx</x:v>
      </x:c>
      <x:c r="R56" s="9" t="str">
        <x:v>默认</x:v>
      </x:c>
      <x:c r="S56" s="9" t="n">
        <x:v>99</x:v>
      </x:c>
      <x:c r="T56" s="9" t="str">
        <x:v>bd4dae1e08e9eca7ddd0669235bf59107cdc418b9c2898fc16f36a7ab5748692</x:v>
      </x:c>
      <x:c r="U56" s="9" t="str">
        <x:v>W_SKIRTS_AVGPAID_1300_1400_ANNUAL2026</x:v>
      </x:c>
      <x:c r="V56" s="9" t="str">
        <x:v>W_SKIRTS_AVGPAID_1300_1400_ANNUAL2026.xlsx / 默认 / 第99行 / SHA256 bd4dae1e08e9eca7ddd0669235bf59107cdc418b9c2898fc16f36a7ab5748692</x:v>
      </x:c>
    </x:row>
    <x:row r="57" ht="58" customHeight="1">
      <x:c r="A57" s="23" t="str">
        <x:v>1052630596439</x:v>
      </x:c>
      <x:c r="B57" s="22"/>
      <x:c r="C57" s="22"/>
      <x:c r="D57" s="22"/>
      <x:c r="E57" s="9" t="str">
        <x:v>裙长未明确</x:v>
      </x:c>
      <x:c r="F57" s="9" t="str">
        <x:v>裙装</x:v>
      </x:c>
      <x:c r="G57" s="9" t="str">
        <x:v>半身裙</x:v>
      </x:c>
      <x:c r="H57" s="9" t="str">
        <x:v>女</x:v>
      </x:c>
      <x:c r="I57" s="9" t="str">
        <x:v>生活在左 鎏金镂影|米杏色手编流苏压褶优雅2026夏新款半身裙子</x:v>
      </x:c>
      <x:c r="J57" s="9" t="str">
        <x:v>A LIFE ON THE LEFT/生活在左</x:v>
      </x:c>
      <x:c r="K57" s="24" t="n">
        <x:v>1530.78</x:v>
      </x:c>
      <x:c r="L57" s="25" t="e">
        <x:f>HYPERLINK("https://item.taobao.com/item.htm?id=1052630596439","打开商品")</x:f>
        <x:v>HYPERLINK is not implemented. linkLocation=https://item.taobao.com/item.htm?id=1052630596439, friendlyName=打开商品</x:v>
      </x:c>
      <x:c r="M57" s="25" t="e">
        <x:f>HYPERLINK("https://data.zhiyitech.cn/itemDetail/overview/base?itemId=1052630596439","打开知衣")</x:f>
        <x:v>HYPERLINK is not implemented. linkLocation=https://data.zhiyitech.cn/itemDetail/overview/base?itemId=1052630596439, friendlyName=打开知衣</x:v>
      </x:c>
      <x:c r="N57" s="25" t="e">
        <x:f>HYPERLINK("https://img.alicdn.com/bao/uploaded/i4/1947403838/O1CN01ygIf2dLxwsH2vH2e-1947403838.jpg","查看主图")</x:f>
        <x:v>HYPERLINK is not implemented. linkLocation=https://img.alicdn.com/bao/uploaded/i4/1947403838/O1CN01ygIf2dLxwsH2vH2e-1947403838.jpg, friendlyName=查看主图</x:v>
      </x:c>
      <x:c r="O57" s="9" t="str">
        <x:v>标题及既有类目语义复核；生活在左 鎏金镂影|米杏色手编流苏压褶优雅2026夏新款半身裙子；原类目及标题已能确认半身裙；展示使用已知大类，未知裙长下沉到结构字段，不强猜长短。</x:v>
      </x:c>
      <x:c r="P57" s="9" t="str">
        <x:v>普通男女装</x:v>
      </x:c>
      <x:c r="Q57" s="9" t="str">
        <x:v>W_SKIRTS_AVGPAID_1500_1600_ANNUAL2026.xlsx</x:v>
      </x:c>
      <x:c r="R57" s="9" t="str">
        <x:v>默认</x:v>
      </x:c>
      <x:c r="S57" s="9" t="n">
        <x:v>442</x:v>
      </x:c>
      <x:c r="T57" s="9" t="str">
        <x:v>deede8b56943df4f914be45dba170f12e69064023d6ef0e88dbde1764f6ba23e</x:v>
      </x:c>
      <x:c r="U57" s="9" t="str">
        <x:v>W_SKIRTS_AVGPAID_1500_1600_ANNUAL2026</x:v>
      </x:c>
      <x:c r="V57" s="9" t="str">
        <x:v>W_SKIRTS_AVGPAID_1500_1600_ANNUAL2026.xlsx / 默认 / 第442行 / SHA256 deede8b56943df4f914be45dba170f12e69064023d6ef0e88dbde1764f6ba23e</x:v>
      </x:c>
    </x:row>
    <x:row r="58" ht="58" customHeight="1">
      <x:c r="A58" s="23" t="str">
        <x:v>1067530609899</x:v>
      </x:c>
      <x:c r="B58" s="22"/>
      <x:c r="C58" s="22"/>
      <x:c r="D58" s="22"/>
      <x:c r="E58" s="9" t="str">
        <x:v>裙长未明确</x:v>
      </x:c>
      <x:c r="F58" s="9" t="str">
        <x:v>裙装</x:v>
      </x:c>
      <x:c r="G58" s="9" t="str">
        <x:v>半身裙</x:v>
      </x:c>
      <x:c r="H58" s="9" t="str">
        <x:v>女</x:v>
      </x:c>
      <x:c r="I58" s="9" t="str">
        <x:v>生活在左 无径之林|丝棉印花宽松百搭镂空花边2026秋新款半身裙子</x:v>
      </x:c>
      <x:c r="J58" s="9" t="str">
        <x:v>A LIFE ON THE LEFT/生活在左</x:v>
      </x:c>
      <x:c r="K58" s="24" t="n">
        <x:v>1340.16</x:v>
      </x:c>
      <x:c r="L58" s="25" t="e">
        <x:f>HYPERLINK("https://item.taobao.com/item.htm?id=1067530609899","打开商品")</x:f>
        <x:v>HYPERLINK is not implemented. linkLocation=https://item.taobao.com/item.htm?id=1067530609899, friendlyName=打开商品</x:v>
      </x:c>
      <x:c r="M58" s="25" t="e">
        <x:f>HYPERLINK("https://data.zhiyitech.cn/itemDetail/overview/base?itemId=1067530609899","打开知衣")</x:f>
        <x:v>HYPERLINK is not implemented. linkLocation=https://data.zhiyitech.cn/itemDetail/overview/base?itemId=1067530609899, friendlyName=打开知衣</x:v>
      </x:c>
      <x:c r="N58" s="25" t="e">
        <x:f>HYPERLINK("https://img.alicdn.com/bao/uploaded/i2/1947403838/O1CN012tex3ftSjiE2vH2e-1947403838.jpg","查看主图")</x:f>
        <x:v>HYPERLINK is not implemented. linkLocation=https://img.alicdn.com/bao/uploaded/i2/1947403838/O1CN012tex3ftSjiE2vH2e-1947403838.jpg, friendlyName=查看主图</x:v>
      </x:c>
      <x:c r="O58" s="9" t="str">
        <x:v>标题及既有类目语义复核；生活在左 无径之林|丝棉印花宽松百搭镂空花边2026秋新款半身裙子；原类目及标题已能确认半身裙；展示使用已知大类，未知裙长下沉到结构字段，不强猜长短。</x:v>
      </x:c>
      <x:c r="P58" s="9" t="str">
        <x:v>普通男女装</x:v>
      </x:c>
      <x:c r="Q58" s="9" t="str">
        <x:v>W_SKIRTS_AVGPAID_1300_1400_ANNUAL2026.xlsx</x:v>
      </x:c>
      <x:c r="R58" s="9" t="str">
        <x:v>默认</x:v>
      </x:c>
      <x:c r="S58" s="9" t="n">
        <x:v>323</x:v>
      </x:c>
      <x:c r="T58" s="9" t="str">
        <x:v>bd4dae1e08e9eca7ddd0669235bf59107cdc418b9c2898fc16f36a7ab5748692</x:v>
      </x:c>
      <x:c r="U58" s="9" t="str">
        <x:v>W_SKIRTS_AVGPAID_1300_1400_ANNUAL2026</x:v>
      </x:c>
      <x:c r="V58" s="9" t="str">
        <x:v>W_SKIRTS_AVGPAID_1300_1400_ANNUAL2026.xlsx / 默认 / 第323行 / SHA256 bd4dae1e08e9eca7ddd0669235bf59107cdc418b9c2898fc16f36a7ab5748692</x:v>
      </x:c>
    </x:row>
    <x:row r="59" ht="58" customHeight="1">
      <x:c r="A59" s="23" t="str">
        <x:v>1069790806217</x:v>
      </x:c>
      <x:c r="B59" s="22"/>
      <x:c r="C59" s="22"/>
      <x:c r="D59" s="22"/>
      <x:c r="E59" s="9" t="str">
        <x:v>裙长未明确</x:v>
      </x:c>
      <x:c r="F59" s="9" t="str">
        <x:v>裙装</x:v>
      </x:c>
      <x:c r="G59" s="9" t="str">
        <x:v>半身裙</x:v>
      </x:c>
      <x:c r="H59" s="9" t="str">
        <x:v>女</x:v>
      </x:c>
      <x:c r="I59" s="9" t="str">
        <x:v>生活在左 手工绣花|米白色丝棉压褶优雅2026早秋新款a字半身裙子</x:v>
      </x:c>
      <x:c r="J59" s="9" t="str">
        <x:v>A LIFE ON THE LEFT/生活在左</x:v>
      </x:c>
      <x:c r="K59" s="24" t="n">
        <x:v>1329.27</x:v>
      </x:c>
      <x:c r="L59" s="25" t="e">
        <x:f>HYPERLINK("https://item.taobao.com/item.htm?id=1069790806217","打开商品")</x:f>
        <x:v>HYPERLINK is not implemented. linkLocation=https://item.taobao.com/item.htm?id=1069790806217, friendlyName=打开商品</x:v>
      </x:c>
      <x:c r="M59" s="25" t="e">
        <x:f>HYPERLINK("https://data.zhiyitech.cn/itemDetail/overview/base?itemId=1069790806217","打开知衣")</x:f>
        <x:v>HYPERLINK is not implemented. linkLocation=https://data.zhiyitech.cn/itemDetail/overview/base?itemId=1069790806217, friendlyName=打开知衣</x:v>
      </x:c>
      <x:c r="N59" s="25" t="e">
        <x:f>HYPERLINK("https://img.alicdn.com/bao/uploaded/i2/1947403838/O1CN01D37d2EIaxZF2vH2e-1947403838.jpg","查看主图")</x:f>
        <x:v>HYPERLINK is not implemented. linkLocation=https://img.alicdn.com/bao/uploaded/i2/1947403838/O1CN01D37d2EIaxZF2vH2e-1947403838.jpg, friendlyName=查看主图</x:v>
      </x:c>
      <x:c r="O59" s="9" t="str">
        <x:v>标题及既有类目语义复核；生活在左 手工绣花|米白色丝棉压褶优雅2026早秋新款a字半身裙子；原类目及标题已能确认半身裙；展示使用已知大类，未知裙长下沉到结构字段，不强猜长短。</x:v>
      </x:c>
      <x:c r="P59" s="9" t="str">
        <x:v>普通男女装</x:v>
      </x:c>
      <x:c r="Q59" s="9" t="str">
        <x:v>W_SKIRTS_AVGPAID_1300_1400_ANNUAL2026.xlsx</x:v>
      </x:c>
      <x:c r="R59" s="9" t="str">
        <x:v>默认</x:v>
      </x:c>
      <x:c r="S59" s="9" t="n">
        <x:v>222</x:v>
      </x:c>
      <x:c r="T59" s="9" t="str">
        <x:v>bd4dae1e08e9eca7ddd0669235bf59107cdc418b9c2898fc16f36a7ab5748692</x:v>
      </x:c>
      <x:c r="U59" s="9" t="str">
        <x:v>W_SKIRTS_AVGPAID_1300_1400_ANNUAL2026</x:v>
      </x:c>
      <x:c r="V59" s="9" t="str">
        <x:v>W_SKIRTS_AVGPAID_1300_1400_ANNUAL2026.xlsx / 默认 / 第222行 / SHA256 bd4dae1e08e9eca7ddd0669235bf59107cdc418b9c2898fc16f36a7ab5748692</x:v>
      </x:c>
    </x:row>
    <x:row r="60" ht="58" customHeight="1">
      <x:c r="A60" s="23" t="str">
        <x:v>684068239708</x:v>
      </x:c>
      <x:c r="B60" s="22"/>
      <x:c r="C60" s="22"/>
      <x:c r="D60" s="22"/>
      <x:c r="E60" s="9" t="str">
        <x:v>裙长未明确</x:v>
      </x:c>
      <x:c r="F60" s="9" t="str">
        <x:v>裙装</x:v>
      </x:c>
      <x:c r="G60" s="9" t="str">
        <x:v>半身裙</x:v>
      </x:c>
      <x:c r="H60" s="9" t="str">
        <x:v>女</x:v>
      </x:c>
      <x:c r="I60" s="9" t="str">
        <x:v>生活在左【林栖作品】改良马面裙复古织金提花春夏国潮风半身裙女</x:v>
      </x:c>
      <x:c r="J60" s="9" t="str">
        <x:v>A LIFE ON THE LEFT/生活在左</x:v>
      </x:c>
      <x:c r="K60" s="24" t="n">
        <x:v>1775.29</x:v>
      </x:c>
      <x:c r="L60" s="25" t="e">
        <x:f>HYPERLINK("https://item.taobao.com/item.htm?id=684068239708","打开商品")</x:f>
        <x:v>HYPERLINK is not implemented. linkLocation=https://item.taobao.com/item.htm?id=684068239708, friendlyName=打开商品</x:v>
      </x:c>
      <x:c r="M60" s="25" t="e">
        <x:f>HYPERLINK("https://data.zhiyitech.cn/itemDetail/overview/base?itemId=684068239708","打开知衣")</x:f>
        <x:v>HYPERLINK is not implemented. linkLocation=https://data.zhiyitech.cn/itemDetail/overview/base?itemId=684068239708, friendlyName=打开知衣</x:v>
      </x:c>
      <x:c r="N60" s="25" t="e">
        <x:f>HYPERLINK("https://img.alicdn.com/bao/uploaded/i2/1947403838/O1CN01lNhbQsEIQLI1chua-1947403838.jpg","查看主图")</x:f>
        <x:v>HYPERLINK is not implemented. linkLocation=https://img.alicdn.com/bao/uploaded/i2/1947403838/O1CN01lNhbQsEIQLI1chua-1947403838.jpg, friendlyName=查看主图</x:v>
      </x:c>
      <x:c r="O60" s="9" t="str">
        <x:v>标题及既有类目语义复核；生活在左【林栖作品】改良马面裙复古织金提花春夏国潮风半身裙女；原类目及标题已能确认半身裙；展示使用已知大类，未知裙长下沉到结构字段，不强猜长短。</x:v>
      </x:c>
      <x:c r="P60" s="9" t="str">
        <x:v>普通男女装</x:v>
      </x:c>
      <x:c r="Q60" s="9" t="str">
        <x:v>W_SKIRTS_AVGPAID_1700_1800_ANNUAL2026.xlsx</x:v>
      </x:c>
      <x:c r="R60" s="9" t="str">
        <x:v>默认</x:v>
      </x:c>
      <x:c r="S60" s="9" t="n">
        <x:v>204</x:v>
      </x:c>
      <x:c r="T60" s="9" t="str">
        <x:v>c25ed77c53c7c5cfcf728778a0e9b297d8689503f62756a939cbd534ca9b587a</x:v>
      </x:c>
      <x:c r="U60" s="9" t="str">
        <x:v>W_SKIRTS_AVGPAID_1700_1800_ANNUAL2026</x:v>
      </x:c>
      <x:c r="V60" s="9" t="str">
        <x:v>W_SKIRTS_AVGPAID_1700_1800_ANNUAL2026.xlsx / 默认 / 第204行 / SHA256 c25ed77c53c7c5cfcf728778a0e9b297d8689503f62756a939cbd534ca9b587a</x:v>
      </x:c>
    </x:row>
    <x:row r="61" ht="58" customHeight="1">
      <x:c r="A61" s="23" t="str">
        <x:v>890452828548</x:v>
      </x:c>
      <x:c r="B61" s="22"/>
      <x:c r="C61" s="22"/>
      <x:c r="D61" s="22"/>
      <x:c r="E61" s="9" t="str">
        <x:v>裙长未明确</x:v>
      </x:c>
      <x:c r="F61" s="9" t="str">
        <x:v>裙装</x:v>
      </x:c>
      <x:c r="G61" s="9" t="str">
        <x:v>半身裙</x:v>
      </x:c>
      <x:c r="H61" s="9" t="str">
        <x:v>女</x:v>
      </x:c>
      <x:c r="I61" s="9" t="str">
        <x:v>生活在左【林栖作品】真丝轻凉马面裙改良2025夏季新款新中式半裙</x:v>
      </x:c>
      <x:c r="J61" s="9" t="str">
        <x:v>A LIFE ON THE LEFT/生活在左</x:v>
      </x:c>
      <x:c r="K61" s="24" t="n">
        <x:v>1539.54</x:v>
      </x:c>
      <x:c r="L61" s="25" t="e">
        <x:f>HYPERLINK("https://item.taobao.com/item.htm?id=890452828548","打开商品")</x:f>
        <x:v>HYPERLINK is not implemented. linkLocation=https://item.taobao.com/item.htm?id=890452828548, friendlyName=打开商品</x:v>
      </x:c>
      <x:c r="M61" s="25" t="e">
        <x:f>HYPERLINK("https://data.zhiyitech.cn/itemDetail/overview/base?itemId=890452828548","打开知衣")</x:f>
        <x:v>HYPERLINK is not implemented. linkLocation=https://data.zhiyitech.cn/itemDetail/overview/base?itemId=890452828548, friendlyName=打开知衣</x:v>
      </x:c>
      <x:c r="N61" s="25" t="e">
        <x:f>HYPERLINK("https://img.alicdn.com/bao/uploaded/i4/1947403838/O1CN01dy8v7ZhM9nG1chua-1947403838.jpg","查看主图")</x:f>
        <x:v>HYPERLINK is not implemented. linkLocation=https://img.alicdn.com/bao/uploaded/i4/1947403838/O1CN01dy8v7ZhM9nG1chua-1947403838.jpg, friendlyName=查看主图</x:v>
      </x:c>
      <x:c r="O61" s="9" t="str">
        <x:v>标题及既有类目语义复核；生活在左【林栖作品】真丝轻凉马面裙改良2025夏季新款新中式半裙；原类目及标题已能确认半身裙；展示使用已知大类，未知裙长下沉到结构字段，不强猜长短。</x:v>
      </x:c>
      <x:c r="P61" s="9" t="str">
        <x:v>普通男女装</x:v>
      </x:c>
      <x:c r="Q61" s="9" t="str">
        <x:v>W_SKIRTS_AVGPAID_1500_1600_ANNUAL2026.xlsx</x:v>
      </x:c>
      <x:c r="R61" s="9" t="str">
        <x:v>默认</x:v>
      </x:c>
      <x:c r="S61" s="9" t="n">
        <x:v>280</x:v>
      </x:c>
      <x:c r="T61" s="9" t="str">
        <x:v>deede8b56943df4f914be45dba170f12e69064023d6ef0e88dbde1764f6ba23e</x:v>
      </x:c>
      <x:c r="U61" s="9" t="str">
        <x:v>W_SKIRTS_AVGPAID_1500_1600_ANNUAL2026</x:v>
      </x:c>
      <x:c r="V61" s="9" t="str">
        <x:v>W_SKIRTS_AVGPAID_1500_1600_ANNUAL2026.xlsx / 默认 / 第280行 / SHA256 deede8b56943df4f914be45dba170f12e69064023d6ef0e88dbde1764f6ba23e</x:v>
      </x:c>
    </x:row>
    <x:row r="62" ht="58" customHeight="1">
      <x:c r="A62" s="23" t="str">
        <x:v>938197875598</x:v>
      </x:c>
      <x:c r="B62" s="22"/>
      <x:c r="C62" s="22"/>
      <x:c r="D62" s="22"/>
      <x:c r="E62" s="9" t="str">
        <x:v>裙长未明确</x:v>
      </x:c>
      <x:c r="F62" s="9" t="str">
        <x:v>裙装</x:v>
      </x:c>
      <x:c r="G62" s="9" t="str">
        <x:v>半身裙</x:v>
      </x:c>
      <x:c r="H62" s="9" t="str">
        <x:v>女</x:v>
      </x:c>
      <x:c r="I62" s="9" t="str">
        <x:v>【手工钉花】生活在左天香花信马面裙新中式2026秋季新款半身裙女</x:v>
      </x:c>
      <x:c r="J62" s="9" t="str">
        <x:v>A LIFE ON THE LEFT/生活在左</x:v>
      </x:c>
      <x:c r="K62" s="24" t="n">
        <x:v>1782.73</x:v>
      </x:c>
      <x:c r="L62" s="25" t="e">
        <x:f>HYPERLINK("https://item.taobao.com/item.htm?id=938197875598","打开商品")</x:f>
        <x:v>HYPERLINK is not implemented. linkLocation=https://item.taobao.com/item.htm?id=938197875598, friendlyName=打开商品</x:v>
      </x:c>
      <x:c r="M62" s="25" t="e">
        <x:f>HYPERLINK("https://data.zhiyitech.cn/itemDetail/overview/base?itemId=938197875598","打开知衣")</x:f>
        <x:v>HYPERLINK is not implemented. linkLocation=https://data.zhiyitech.cn/itemDetail/overview/base?itemId=938197875598, friendlyName=打开知衣</x:v>
      </x:c>
      <x:c r="N62" s="25" t="e">
        <x:f>HYPERLINK("https://img.alicdn.com/bao/uploaded/i4/1947403838/O1CN01L47aHofwgRG2R3rs-1947403838.jpg","查看主图")</x:f>
        <x:v>HYPERLINK is not implemented. linkLocation=https://img.alicdn.com/bao/uploaded/i4/1947403838/O1CN01L47aHofwgRG2R3rs-1947403838.jpg, friendlyName=查看主图</x:v>
      </x:c>
      <x:c r="O62" s="9" t="str">
        <x:v>标题及既有类目语义复核；【手工钉花】生活在左天香花信马面裙新中式2026秋季新款半身裙女；原类目及标题已能确认半身裙；展示使用已知大类，未知裙长下沉到结构字段，不强猜长短。</x:v>
      </x:c>
      <x:c r="P62" s="9" t="str">
        <x:v>普通男女装</x:v>
      </x:c>
      <x:c r="Q62" s="9" t="str">
        <x:v>W_SKIRTS_AVGPAID_1700_1800_ANNUAL2026.xlsx</x:v>
      </x:c>
      <x:c r="R62" s="9" t="str">
        <x:v>默认</x:v>
      </x:c>
      <x:c r="S62" s="9" t="n">
        <x:v>227</x:v>
      </x:c>
      <x:c r="T62" s="9" t="str">
        <x:v>c25ed77c53c7c5cfcf728778a0e9b297d8689503f62756a939cbd534ca9b587a</x:v>
      </x:c>
      <x:c r="U62" s="9" t="str">
        <x:v>W_SKIRTS_AVGPAID_1700_1800_ANNUAL2026</x:v>
      </x:c>
      <x:c r="V62" s="9" t="str">
        <x:v>W_SKIRTS_AVGPAID_1700_1800_ANNUAL2026.xlsx / 默认 / 第227行 / SHA256 c25ed77c53c7c5cfcf728778a0e9b297d8689503f62756a939cbd534ca9b587a</x:v>
      </x:c>
    </x:row>
    <x:row r="63" ht="58" customHeight="1">
      <x:c r="A63" s="23" t="str">
        <x:v>939738712489</x:v>
      </x:c>
      <x:c r="B63" s="22"/>
      <x:c r="C63" s="22"/>
      <x:c r="D63" s="22"/>
      <x:c r="E63" s="9" t="str">
        <x:v>裙长未明确</x:v>
      </x:c>
      <x:c r="F63" s="9" t="str">
        <x:v>裙装</x:v>
      </x:c>
      <x:c r="G63" s="9" t="str">
        <x:v>半身裙</x:v>
      </x:c>
      <x:c r="H63" s="9" t="str">
        <x:v>女</x:v>
      </x:c>
      <x:c r="I63" s="9" t="str">
        <x:v>生活在左绒线绣花真丝改良马面裙2026秋季新款优雅桑蚕丝半身裙女</x:v>
      </x:c>
      <x:c r="J63" s="9" t="str">
        <x:v>A LIFE ON THE LEFT/生活在左</x:v>
      </x:c>
      <x:c r="K63" s="24" t="n">
        <x:v>1324.83</x:v>
      </x:c>
      <x:c r="L63" s="25" t="e">
        <x:f>HYPERLINK("https://item.taobao.com/item.htm?id=939738712489","打开商品")</x:f>
        <x:v>HYPERLINK is not implemented. linkLocation=https://item.taobao.com/item.htm?id=939738712489, friendlyName=打开商品</x:v>
      </x:c>
      <x:c r="M63" s="25" t="e">
        <x:f>HYPERLINK("https://data.zhiyitech.cn/itemDetail/overview/base?itemId=939738712489","打开知衣")</x:f>
        <x:v>HYPERLINK is not implemented. linkLocation=https://data.zhiyitech.cn/itemDetail/overview/base?itemId=939738712489, friendlyName=打开知衣</x:v>
      </x:c>
      <x:c r="N63" s="25" t="e">
        <x:f>HYPERLINK("https://img.alicdn.com/bao/uploaded/i4/1947403838/O1CN01b1xAtacVUuI1chua-1947403838.jpg","查看主图")</x:f>
        <x:v>HYPERLINK is not implemented. linkLocation=https://img.alicdn.com/bao/uploaded/i4/1947403838/O1CN01b1xAtacVUuI1chua-1947403838.jpg, friendlyName=查看主图</x:v>
      </x:c>
      <x:c r="O63" s="9" t="str">
        <x:v>标题及既有类目语义复核；生活在左绒线绣花真丝改良马面裙2026秋季新款优雅桑蚕丝半身裙女；原类目及标题已能确认半身裙；展示使用已知大类，未知裙长下沉到结构字段，不强猜长短。</x:v>
      </x:c>
      <x:c r="P63" s="9" t="str">
        <x:v>普通男女装</x:v>
      </x:c>
      <x:c r="Q63" s="9" t="str">
        <x:v>W_SKIRTS_AVGPAID_1300_1400_ANNUAL2026.xlsx</x:v>
      </x:c>
      <x:c r="R63" s="9" t="str">
        <x:v>默认</x:v>
      </x:c>
      <x:c r="S63" s="9" t="n">
        <x:v>161</x:v>
      </x:c>
      <x:c r="T63" s="9" t="str">
        <x:v>bd4dae1e08e9eca7ddd0669235bf59107cdc418b9c2898fc16f36a7ab5748692</x:v>
      </x:c>
      <x:c r="U63" s="9" t="str">
        <x:v>W_SKIRTS_AVGPAID_1300_1400_ANNUAL2026</x:v>
      </x:c>
      <x:c r="V63" s="9" t="str">
        <x:v>W_SKIRTS_AVGPAID_1300_1400_ANNUAL2026.xlsx / 默认 / 第161行 / SHA256 bd4dae1e08e9eca7ddd0669235bf59107cdc418b9c2898fc16f36a7ab5748692</x:v>
      </x:c>
    </x:row>
    <x:row r="64" ht="58" customHeight="1">
      <x:c r="A64" s="23" t="str">
        <x:v>967900874662</x:v>
      </x:c>
      <x:c r="B64" s="22"/>
      <x:c r="C64" s="22"/>
      <x:c r="D64" s="22"/>
      <x:c r="E64" s="9" t="str">
        <x:v>裙长未明确</x:v>
      </x:c>
      <x:c r="F64" s="9" t="str">
        <x:v>裙装</x:v>
      </x:c>
      <x:c r="G64" s="9" t="str">
        <x:v>半身裙</x:v>
      </x:c>
      <x:c r="H64" s="9" t="str">
        <x:v>女</x:v>
      </x:c>
      <x:c r="I64" s="9" t="str">
        <x:v>【双11狂欢】A.P.C.JUPE ADELMA女士简约气质格纹中腰直筒半裙</x:v>
      </x:c>
      <x:c r="J64" s="9" t="str">
        <x:v>A.P.C.</x:v>
      </x:c>
      <x:c r="K64" s="24" t="n">
        <x:v>1718.99</x:v>
      </x:c>
      <x:c r="L64" s="25" t="e">
        <x:f>HYPERLINK("https://item.taobao.com/item.htm?id=967900874662","打开商品")</x:f>
        <x:v>HYPERLINK is not implemented. linkLocation=https://item.taobao.com/item.htm?id=967900874662, friendlyName=打开商品</x:v>
      </x:c>
      <x:c r="M64" s="25" t="e">
        <x:f>HYPERLINK("https://data.zhiyitech.cn/itemDetail/overview/base?itemId=967900874662","打开知衣")</x:f>
        <x:v>HYPERLINK is not implemented. linkLocation=https://data.zhiyitech.cn/itemDetail/overview/base?itemId=967900874662, friendlyName=打开知衣</x:v>
      </x:c>
      <x:c r="N64" s="25" t="e">
        <x:f>HYPERLINK("https://img.alicdn.com/bao/uploaded/i3/2212434874798/O1CN014zlOBtePR8G1chua_!!2212434874798.jpg","查看主图")</x:f>
        <x:v>HYPERLINK is not implemented. linkLocation=https://img.alicdn.com/bao/uploaded/i3/2212434874798/O1CN014zlOBtePR8G1chua_!!2212434874798.jpg, friendlyName=查看主图</x:v>
      </x:c>
      <x:c r="O64" s="9" t="str">
        <x:v>标题及既有类目语义复核；【双11狂欢】A.P.C.JUPE ADELMA女士简约气质格纹中腰直筒半裙；原类目及标题已能确认半身裙；展示使用已知大类，未知裙长下沉到结构字段，不强猜长短。</x:v>
      </x:c>
      <x:c r="P64" s="9" t="str">
        <x:v>普通男女装</x:v>
      </x:c>
      <x:c r="Q64" s="9" t="str">
        <x:v>W_SKIRTS_AVGPAID_1700_1800_ANNUAL2026.xlsx</x:v>
      </x:c>
      <x:c r="R64" s="9" t="str">
        <x:v>默认</x:v>
      </x:c>
      <x:c r="S64" s="9" t="n">
        <x:v>382</x:v>
      </x:c>
      <x:c r="T64" s="9" t="str">
        <x:v>c25ed77c53c7c5cfcf728778a0e9b297d8689503f62756a939cbd534ca9b587a</x:v>
      </x:c>
      <x:c r="U64" s="9" t="str">
        <x:v>W_SKIRTS_AVGPAID_1700_1800_ANNUAL2026</x:v>
      </x:c>
      <x:c r="V64" s="9" t="str">
        <x:v>W_SKIRTS_AVGPAID_1700_1800_ANNUAL2026.xlsx / 默认 / 第382行 / SHA256 c25ed77c53c7c5cfcf728778a0e9b297d8689503f62756a939cbd534ca9b587a</x:v>
      </x:c>
    </x:row>
    <x:row r="65" ht="58" customHeight="1">
      <x:c r="A65" s="23" t="str">
        <x:v>980184354786</x:v>
      </x:c>
      <x:c r="B65" s="22"/>
      <x:c r="C65" s="22"/>
      <x:c r="D65" s="22"/>
      <x:c r="E65" s="9" t="str">
        <x:v>裙长未明确</x:v>
      </x:c>
      <x:c r="F65" s="9" t="str">
        <x:v>裙装</x:v>
      </x:c>
      <x:c r="G65" s="9" t="str">
        <x:v>半身裙</x:v>
      </x:c>
      <x:c r="H65" s="9" t="str">
        <x:v>女</x:v>
      </x:c>
      <x:c r="I65" s="9" t="str">
        <x:v>【双11狂欢】A.P.C.JUPE NAIA女士中腰A型半裙</x:v>
      </x:c>
      <x:c r="J65" s="9" t="str">
        <x:v>A.P.C.</x:v>
      </x:c>
      <x:c r="K65" s="24" t="n">
        <x:v>1542.9</x:v>
      </x:c>
      <x:c r="L65" s="25" t="e">
        <x:f>HYPERLINK("https://item.taobao.com/item.htm?id=980184354786","打开商品")</x:f>
        <x:v>HYPERLINK is not implemented. linkLocation=https://item.taobao.com/item.htm?id=980184354786, friendlyName=打开商品</x:v>
      </x:c>
      <x:c r="M65" s="25" t="e">
        <x:f>HYPERLINK("https://data.zhiyitech.cn/itemDetail/overview/base?itemId=980184354786","打开知衣")</x:f>
        <x:v>HYPERLINK is not implemented. linkLocation=https://data.zhiyitech.cn/itemDetail/overview/base?itemId=980184354786, friendlyName=打开知衣</x:v>
      </x:c>
      <x:c r="N65" s="25" t="e">
        <x:f>HYPERLINK("https://img.alicdn.com/bao/uploaded/i1/2212434874798/O1CN01MnlarC2itEJ1chua_!!2212434874798.jpg","查看主图")</x:f>
        <x:v>HYPERLINK is not implemented. linkLocation=https://img.alicdn.com/bao/uploaded/i1/2212434874798/O1CN01MnlarC2itEJ1chua_!!2212434874798.jpg, friendlyName=查看主图</x:v>
      </x:c>
      <x:c r="O65" s="9" t="str">
        <x:v>标题及既有类目语义复核；【双11狂欢】A.P.C.JUPE NAIA女士中腰A型半裙；原类目及标题已能确认半身裙；展示使用已知大类，未知裙长下沉到结构字段，不强猜长短。</x:v>
      </x:c>
      <x:c r="P65" s="9" t="str">
        <x:v>普通男女装</x:v>
      </x:c>
      <x:c r="Q65" s="9" t="str">
        <x:v>W_SKIRTS_AVGPAID_1500_1600_ANNUAL2026.xlsx</x:v>
      </x:c>
      <x:c r="R65" s="9" t="str">
        <x:v>默认</x:v>
      </x:c>
      <x:c r="S65" s="9" t="n">
        <x:v>448</x:v>
      </x:c>
      <x:c r="T65" s="9" t="str">
        <x:v>deede8b56943df4f914be45dba170f12e69064023d6ef0e88dbde1764f6ba23e</x:v>
      </x:c>
      <x:c r="U65" s="9" t="str">
        <x:v>W_SKIRTS_AVGPAID_1500_1600_ANNUAL2026</x:v>
      </x:c>
      <x:c r="V65" s="9" t="str">
        <x:v>W_SKIRTS_AVGPAID_1500_1600_ANNUAL2026.xlsx / 默认 / 第448行 / SHA256 deede8b56943df4f914be45dba170f12e69064023d6ef0e88dbde1764f6ba23e</x:v>
      </x:c>
    </x:row>
    <x:row r="66" ht="58" customHeight="1">
      <x:c r="A66" s="23" t="str">
        <x:v>1044112613246</x:v>
      </x:c>
      <x:c r="B66" s="22"/>
      <x:c r="C66" s="22"/>
      <x:c r="D66" s="22"/>
      <x:c r="E66" s="9" t="str">
        <x:v>裙长未明确</x:v>
      </x:c>
      <x:c r="F66" s="9" t="str">
        <x:v>裙装</x:v>
      </x:c>
      <x:c r="G66" s="9" t="str">
        <x:v>半身裙</x:v>
      </x:c>
      <x:c r="H66" s="9" t="str">
        <x:v>女</x:v>
      </x:c>
      <x:c r="I66" s="9" t="str">
        <x:v>AETNAPROJECT小众设计师品牌2026早秋新款落樱粉A字型打褶长半裙</x:v>
      </x:c>
      <x:c r="J66" s="9" t="str">
        <x:v>AETNA PROJECT</x:v>
      </x:c>
      <x:c r="K66" s="24" t="n">
        <x:v>1512.96</x:v>
      </x:c>
      <x:c r="L66" s="25" t="e">
        <x:f>HYPERLINK("https://item.taobao.com/item.htm?id=1044112613246","打开商品")</x:f>
        <x:v>HYPERLINK is not implemented. linkLocation=https://item.taobao.com/item.htm?id=1044112613246, friendlyName=打开商品</x:v>
      </x:c>
      <x:c r="M66" s="25" t="e">
        <x:f>HYPERLINK("https://data.zhiyitech.cn/itemDetail/overview/base?itemId=1044112613246","打开知衣")</x:f>
        <x:v>HYPERLINK is not implemented. linkLocation=https://data.zhiyitech.cn/itemDetail/overview/base?itemId=1044112613246, friendlyName=打开知衣</x:v>
      </x:c>
      <x:c r="N66" s="25" t="e">
        <x:f>HYPERLINK("https://img.alicdn.com/bao/uploaded/i3/2208198993910/O1CN01tsDD211ekpkeVBFOY_!!2208198993910.jpg","查看主图")</x:f>
        <x:v>HYPERLINK is not implemented. linkLocation=https://img.alicdn.com/bao/uploaded/i3/2208198993910/O1CN01tsDD211ekpkeVBFOY_!!2208198993910.jpg, friendlyName=查看主图</x:v>
      </x:c>
      <x:c r="O66" s="9" t="str">
        <x:v>标题及既有类目语义复核；AETNAPROJECT小众设计师品牌2026早秋新款落樱粉A字型打褶长半裙；原类目及标题已能确认半身裙；展示使用已知大类，未知裙长下沉到结构字段，不强猜长短。</x:v>
      </x:c>
      <x:c r="P66" s="9" t="str">
        <x:v>普通男女装</x:v>
      </x:c>
      <x:c r="Q66" s="9" t="str">
        <x:v>W_SKIRTS_AVGPAID_1500_1600_ANNUAL2026.xlsx</x:v>
      </x:c>
      <x:c r="R66" s="9" t="str">
        <x:v>默认</x:v>
      </x:c>
      <x:c r="S66" s="9" t="n">
        <x:v>348</x:v>
      </x:c>
      <x:c r="T66" s="9" t="str">
        <x:v>deede8b56943df4f914be45dba170f12e69064023d6ef0e88dbde1764f6ba23e</x:v>
      </x:c>
      <x:c r="U66" s="9" t="str">
        <x:v>W_SKIRTS_AVGPAID_1500_1600_ANNUAL2026</x:v>
      </x:c>
      <x:c r="V66" s="9" t="str">
        <x:v>W_SKIRTS_AVGPAID_1500_1600_ANNUAL2026.xlsx / 默认 / 第348行 / SHA256 deede8b56943df4f914be45dba170f12e69064023d6ef0e88dbde1764f6ba23e</x:v>
      </x:c>
    </x:row>
    <x:row r="67" ht="58" customHeight="1">
      <x:c r="A67" s="23" t="str">
        <x:v>931619201947</x:v>
      </x:c>
      <x:c r="B67" s="22"/>
      <x:c r="C67" s="22"/>
      <x:c r="D67" s="22"/>
      <x:c r="E67" s="9" t="str">
        <x:v>裙长未明确</x:v>
      </x:c>
      <x:c r="F67" s="9" t="str">
        <x:v>裙装</x:v>
      </x:c>
      <x:c r="G67" s="9" t="str">
        <x:v>半身裙</x:v>
      </x:c>
      <x:c r="H67" s="9" t="str">
        <x:v>女</x:v>
      </x:c>
      <x:c r="I67" s="9" t="str">
        <x:v>亚历山大王做旧叠搭牛仔半身裙</x:v>
      </x:c>
      <x:c r="J67" s="9" t="str">
        <x:v>ALEXANDER WANG</x:v>
      </x:c>
      <x:c r="K67" s="24" t="n">
        <x:v>1501.12</x:v>
      </x:c>
      <x:c r="L67" s="25" t="e">
        <x:f>HYPERLINK("https://item.taobao.com/item.htm?id=931619201947","打开商品")</x:f>
        <x:v>HYPERLINK is not implemented. linkLocation=https://item.taobao.com/item.htm?id=931619201947, friendlyName=打开商品</x:v>
      </x:c>
      <x:c r="M67" s="25" t="e">
        <x:f>HYPERLINK("https://data.zhiyitech.cn/itemDetail/overview/base?itemId=931619201947","打开知衣")</x:f>
        <x:v>HYPERLINK is not implemented. linkLocation=https://data.zhiyitech.cn/itemDetail/overview/base?itemId=931619201947, friendlyName=打开知衣</x:v>
      </x:c>
      <x:c r="N67" s="25" t="e">
        <x:f>HYPERLINK("https://img.alicdn.com/bao/uploaded/i1/2207455445279/O1CN01GeLel31orpyHXeRp6_!!4611686018427379999-0-item_pic.jpg","查看主图")</x:f>
        <x:v>HYPERLINK is not implemented. linkLocation=https://img.alicdn.com/bao/uploaded/i1/2207455445279/O1CN01GeLel31orpyHXeRp6_!!4611686018427379999-0-item_pic.jpg, friendlyName=查看主图</x:v>
      </x:c>
      <x:c r="O67" s="9" t="str">
        <x:v>标题及既有类目语义复核；亚历山大王做旧叠搭牛仔半身裙；原类目及标题已能确认半身裙；展示使用已知大类，未知裙长下沉到结构字段，不强猜长短。</x:v>
      </x:c>
      <x:c r="P67" s="9" t="str">
        <x:v>普通男女装</x:v>
      </x:c>
      <x:c r="Q67" s="9" t="str">
        <x:v>W_SKIRTS_AVGPAID_1500_1600_ANNUAL2026.xlsx</x:v>
      </x:c>
      <x:c r="R67" s="9" t="str">
        <x:v>默认</x:v>
      </x:c>
      <x:c r="S67" s="9" t="n">
        <x:v>316</x:v>
      </x:c>
      <x:c r="T67" s="9" t="str">
        <x:v>deede8b56943df4f914be45dba170f12e69064023d6ef0e88dbde1764f6ba23e</x:v>
      </x:c>
      <x:c r="U67" s="9" t="str">
        <x:v>W_SKIRTS_AVGPAID_1500_1600_ANNUAL2026</x:v>
      </x:c>
      <x:c r="V67" s="9" t="str">
        <x:v>W_SKIRTS_AVGPAID_1500_1600_ANNUAL2026.xlsx / 默认 / 第316行 / SHA256 deede8b56943df4f914be45dba170f12e69064023d6ef0e88dbde1764f6ba23e</x:v>
      </x:c>
    </x:row>
    <x:row r="68" ht="58" customHeight="1">
      <x:c r="A68" s="23" t="str">
        <x:v>1000359880061</x:v>
      </x:c>
      <x:c r="B68" s="22"/>
      <x:c r="C68" s="22"/>
      <x:c r="D68" s="22"/>
      <x:c r="E68" s="9" t="str">
        <x:v>裙长未明确</x:v>
      </x:c>
      <x:c r="F68" s="9" t="str">
        <x:v>裙装</x:v>
      </x:c>
      <x:c r="G68" s="9" t="str">
        <x:v>半身裙</x:v>
      </x:c>
      <x:c r="H68" s="9" t="str">
        <x:v>女</x:v>
      </x:c>
      <x:c r="I68" s="9" t="str">
        <x:v>AmandaX“优雅永恒”系列重磅真丝羊毛一片式裹裙/轻礼服</x:v>
      </x:c>
      <x:c r="J68" s="9" t="str">
        <x:v>AMANDAX</x:v>
      </x:c>
      <x:c r="K68" s="24" t="n">
        <x:v>1758.08</x:v>
      </x:c>
      <x:c r="L68" s="25" t="e">
        <x:f>HYPERLINK("https://item.taobao.com/item.htm?id=1000359880061","打开商品")</x:f>
        <x:v>HYPERLINK is not implemented. linkLocation=https://item.taobao.com/item.htm?id=1000359880061, friendlyName=打开商品</x:v>
      </x:c>
      <x:c r="M68" s="25" t="e">
        <x:f>HYPERLINK("https://data.zhiyitech.cn/itemDetail/overview/base?itemId=1000359880061","打开知衣")</x:f>
        <x:v>HYPERLINK is not implemented. linkLocation=https://data.zhiyitech.cn/itemDetail/overview/base?itemId=1000359880061, friendlyName=打开知衣</x:v>
      </x:c>
      <x:c r="N68" s="25" t="e">
        <x:f>HYPERLINK("https://img.alicdn.com/bao/uploaded/i1/409207888/O1CN01PXJ2Lz288lHCEb7aP_!!409207888.jpg","查看主图")</x:f>
        <x:v>HYPERLINK is not implemented. linkLocation=https://img.alicdn.com/bao/uploaded/i1/409207888/O1CN01PXJ2Lz288lHCEb7aP_!!409207888.jpg, friendlyName=查看主图</x:v>
      </x:c>
      <x:c r="O68" s="9" t="str">
        <x:v>标题及既有类目语义复核；AmandaX“优雅永恒”系列重磅真丝羊毛一片式裹裙/轻礼服；原类目及标题已能确认半身裙；展示使用已知大类，未知裙长下沉到结构字段，不强猜长短。</x:v>
      </x:c>
      <x:c r="P68" s="9" t="str">
        <x:v>普通男女装</x:v>
      </x:c>
      <x:c r="Q68" s="9" t="str">
        <x:v>W_SKIRTS_AVGPAID_1700_1800_ANNUAL2026.xlsx</x:v>
      </x:c>
      <x:c r="R68" s="9" t="str">
        <x:v>默认</x:v>
      </x:c>
      <x:c r="S68" s="9" t="n">
        <x:v>33</x:v>
      </x:c>
      <x:c r="T68" s="9" t="str">
        <x:v>c25ed77c53c7c5cfcf728778a0e9b297d8689503f62756a939cbd534ca9b587a</x:v>
      </x:c>
      <x:c r="U68" s="9" t="str">
        <x:v>W_SKIRTS_AVGPAID_1700_1800_ANNUAL2026</x:v>
      </x:c>
      <x:c r="V68" s="9" t="str">
        <x:v>W_SKIRTS_AVGPAID_1700_1800_ANNUAL2026.xlsx / 默认 / 第33行 / SHA256 c25ed77c53c7c5cfcf728778a0e9b297d8689503f62756a939cbd534ca9b587a</x:v>
      </x:c>
    </x:row>
    <x:row r="69" ht="58" customHeight="1">
      <x:c r="A69" s="23" t="str">
        <x:v>891548628081</x:v>
      </x:c>
      <x:c r="B69" s="22"/>
      <x:c r="C69" s="22"/>
      <x:c r="D69" s="22"/>
      <x:c r="E69" s="9" t="str">
        <x:v>裙长未明确</x:v>
      </x:c>
      <x:c r="F69" s="9" t="str">
        <x:v>裙装</x:v>
      </x:c>
      <x:c r="G69" s="9" t="str">
        <x:v>半身裙</x:v>
      </x:c>
      <x:c r="H69" s="9" t="str">
        <x:v>女</x:v>
      </x:c>
      <x:c r="I69" s="9" t="str">
        <x:v>AmandaX“科莫旧梦”系列浮雕立体提花真丝半裙/轻礼服</x:v>
      </x:c>
      <x:c r="J69" s="9" t="str">
        <x:v>AMANDAX</x:v>
      </x:c>
      <x:c r="K69" s="24" t="n">
        <x:v>1762.7</x:v>
      </x:c>
      <x:c r="L69" s="25" t="e">
        <x:f>HYPERLINK("https://item.taobao.com/item.htm?id=891548628081","打开商品")</x:f>
        <x:v>HYPERLINK is not implemented. linkLocation=https://item.taobao.com/item.htm?id=891548628081, friendlyName=打开商品</x:v>
      </x:c>
      <x:c r="M69" s="25" t="e">
        <x:f>HYPERLINK("https://data.zhiyitech.cn/itemDetail/overview/base?itemId=891548628081","打开知衣")</x:f>
        <x:v>HYPERLINK is not implemented. linkLocation=https://data.zhiyitech.cn/itemDetail/overview/base?itemId=891548628081, friendlyName=打开知衣</x:v>
      </x:c>
      <x:c r="N69" s="25" t="e">
        <x:f>HYPERLINK("https://img.alicdn.com/bao/uploaded/i1/409207888/O1CN018whaN3288lCdSBY3G_!!409207888.jpg","查看主图")</x:f>
        <x:v>HYPERLINK is not implemented. linkLocation=https://img.alicdn.com/bao/uploaded/i1/409207888/O1CN018whaN3288lCdSBY3G_!!409207888.jpg, friendlyName=查看主图</x:v>
      </x:c>
      <x:c r="O69" s="9" t="str">
        <x:v>标题及既有类目语义复核；AmandaX“科莫旧梦”系列浮雕立体提花真丝半裙/轻礼服；原类目及标题已能确认半身裙；展示使用已知大类，未知裙长下沉到结构字段，不强猜长短。</x:v>
      </x:c>
      <x:c r="P69" s="9" t="str">
        <x:v>普通男女装</x:v>
      </x:c>
      <x:c r="Q69" s="9" t="str">
        <x:v>W_SKIRTS_AVGPAID_1700_1800_ANNUAL2026.xlsx</x:v>
      </x:c>
      <x:c r="R69" s="9" t="str">
        <x:v>默认</x:v>
      </x:c>
      <x:c r="S69" s="9" t="n">
        <x:v>94</x:v>
      </x:c>
      <x:c r="T69" s="9" t="str">
        <x:v>c25ed77c53c7c5cfcf728778a0e9b297d8689503f62756a939cbd534ca9b587a</x:v>
      </x:c>
      <x:c r="U69" s="9" t="str">
        <x:v>W_SKIRTS_AVGPAID_1700_1800_ANNUAL2026</x:v>
      </x:c>
      <x:c r="V69" s="9" t="str">
        <x:v>W_SKIRTS_AVGPAID_1700_1800_ANNUAL2026.xlsx / 默认 / 第94行 / SHA256 c25ed77c53c7c5cfcf728778a0e9b297d8689503f62756a939cbd534ca9b587a</x:v>
      </x:c>
    </x:row>
    <x:row r="70" ht="58" customHeight="1">
      <x:c r="A70" s="23" t="str">
        <x:v>1021108654058</x:v>
      </x:c>
      <x:c r="B70" s="22"/>
      <x:c r="C70" s="22"/>
      <x:c r="D70" s="22"/>
      <x:c r="E70" s="9" t="str">
        <x:v>裙长未明确</x:v>
      </x:c>
      <x:c r="F70" s="9" t="str">
        <x:v>裙装</x:v>
      </x:c>
      <x:c r="G70" s="9" t="str">
        <x:v>半身裙</x:v>
      </x:c>
      <x:c r="H70" s="9" t="str">
        <x:v>女</x:v>
      </x:c>
      <x:c r="I70" s="9" t="str">
        <x:v>ANINE BING CHRISLY高腰半身裙</x:v>
      </x:c>
      <x:c r="J70" s="9" t="str">
        <x:v>ANINE BING</x:v>
      </x:c>
      <x:c r="K70" s="24" t="n">
        <x:v>1381.6</x:v>
      </x:c>
      <x:c r="L70" s="25" t="e">
        <x:f>HYPERLINK("https://item.taobao.com/item.htm?id=1021108654058","打开商品")</x:f>
        <x:v>HYPERLINK is not implemented. linkLocation=https://item.taobao.com/item.htm?id=1021108654058, friendlyName=打开商品</x:v>
      </x:c>
      <x:c r="M70" s="25" t="e">
        <x:f>HYPERLINK("https://data.zhiyitech.cn/itemDetail/overview/base?itemId=1021108654058","打开知衣")</x:f>
        <x:v>HYPERLINK is not implemented. linkLocation=https://data.zhiyitech.cn/itemDetail/overview/base?itemId=1021108654058, friendlyName=打开知衣</x:v>
      </x:c>
      <x:c r="N70" s="25" t="e">
        <x:f>HYPERLINK("https://img.alicdn.com/bao/uploaded/i3/2214105642801/O1CN01W5KCUWKjABG1chua_!!2214105642801.jpg","查看主图")</x:f>
        <x:v>HYPERLINK is not implemented. linkLocation=https://img.alicdn.com/bao/uploaded/i3/2214105642801/O1CN01W5KCUWKjABG1chua_!!2214105642801.jpg, friendlyName=查看主图</x:v>
      </x:c>
      <x:c r="O70" s="9" t="str">
        <x:v>标题及既有类目语义复核；ANINE BING CHRISLY高腰半身裙；原类目及标题已能确认半身裙；展示使用已知大类，未知裙长下沉到结构字段，不强猜长短。</x:v>
      </x:c>
      <x:c r="P70" s="9" t="str">
        <x:v>普通男女装</x:v>
      </x:c>
      <x:c r="Q70" s="9" t="str">
        <x:v>W_SKIRTS_AVGPAID_1300_1400_ANNUAL2026.xlsx</x:v>
      </x:c>
      <x:c r="R70" s="9" t="str">
        <x:v>默认</x:v>
      </x:c>
      <x:c r="S70" s="9" t="n">
        <x:v>464</x:v>
      </x:c>
      <x:c r="T70" s="9" t="str">
        <x:v>bd4dae1e08e9eca7ddd0669235bf59107cdc418b9c2898fc16f36a7ab5748692</x:v>
      </x:c>
      <x:c r="U70" s="9" t="str">
        <x:v>W_SKIRTS_AVGPAID_1300_1400_ANNUAL2026</x:v>
      </x:c>
      <x:c r="V70" s="9" t="str">
        <x:v>W_SKIRTS_AVGPAID_1300_1400_ANNUAL2026.xlsx / 默认 / 第464行 / SHA256 bd4dae1e08e9eca7ddd0669235bf59107cdc418b9c2898fc16f36a7ab5748692</x:v>
      </x:c>
    </x:row>
    <x:row r="71" ht="58" customHeight="1">
      <x:c r="A71" s="23" t="str">
        <x:v>838038550565</x:v>
      </x:c>
      <x:c r="B71" s="22"/>
      <x:c r="C71" s="22"/>
      <x:c r="D71" s="22"/>
      <x:c r="E71" s="9" t="str">
        <x:v>裙长未明确</x:v>
      </x:c>
      <x:c r="F71" s="9" t="str">
        <x:v>裙装</x:v>
      </x:c>
      <x:c r="G71" s="9" t="str">
        <x:v>半身裙</x:v>
      </x:c>
      <x:c r="H71" s="9" t="str">
        <x:v>女</x:v>
      </x:c>
      <x:c r="I71" s="9" t="str">
        <x:v>ANINE BING TYRA半身裙 女士黑色再生皮革中高腰修身半裙春夏装</x:v>
      </x:c>
      <x:c r="J71" s="9" t="str">
        <x:v>ANINE BING</x:v>
      </x:c>
      <x:c r="K71" s="24" t="n">
        <x:v>1718.18</x:v>
      </x:c>
      <x:c r="L71" s="25" t="e">
        <x:f>HYPERLINK("https://item.taobao.com/item.htm?id=838038550565","打开商品")</x:f>
        <x:v>HYPERLINK is not implemented. linkLocation=https://item.taobao.com/item.htm?id=838038550565, friendlyName=打开商品</x:v>
      </x:c>
      <x:c r="M71" s="25" t="e">
        <x:f>HYPERLINK("https://data.zhiyitech.cn/itemDetail/overview/base?itemId=838038550565","打开知衣")</x:f>
        <x:v>HYPERLINK is not implemented. linkLocation=https://data.zhiyitech.cn/itemDetail/overview/base?itemId=838038550565, friendlyName=打开知衣</x:v>
      </x:c>
      <x:c r="N71" s="25" t="e">
        <x:f>HYPERLINK("https://img.alicdn.com/bao/uploaded/i1/2214105642801/O1CN01iY97px1WYuWQfkXdF_!!2214105642801.jpg","查看主图")</x:f>
        <x:v>HYPERLINK is not implemented. linkLocation=https://img.alicdn.com/bao/uploaded/i1/2214105642801/O1CN01iY97px1WYuWQfkXdF_!!2214105642801.jpg, friendlyName=查看主图</x:v>
      </x:c>
      <x:c r="O71" s="9" t="str">
        <x:v>标题及既有类目语义复核；ANINE BING TYRA半身裙 女士黑色再生皮革中高腰修身半裙春夏装；原类目及标题已能确认半身裙；展示使用已知大类，未知裙长下沉到结构字段，不强猜长短。</x:v>
      </x:c>
      <x:c r="P71" s="9" t="str">
        <x:v>普通男女装</x:v>
      </x:c>
      <x:c r="Q71" s="9" t="str">
        <x:v>W_SKIRTS_AVGPAID_1700_1800_ANNUAL2026.xlsx</x:v>
      </x:c>
      <x:c r="R71" s="9" t="str">
        <x:v>默认</x:v>
      </x:c>
      <x:c r="S71" s="9" t="n">
        <x:v>151</x:v>
      </x:c>
      <x:c r="T71" s="9" t="str">
        <x:v>c25ed77c53c7c5cfcf728778a0e9b297d8689503f62756a939cbd534ca9b587a</x:v>
      </x:c>
      <x:c r="U71" s="9" t="str">
        <x:v>W_SKIRTS_AVGPAID_1700_1800_ANNUAL2026</x:v>
      </x:c>
      <x:c r="V71" s="9" t="str">
        <x:v>W_SKIRTS_AVGPAID_1700_1800_ANNUAL2026.xlsx / 默认 / 第151行 / SHA256 c25ed77c53c7c5cfcf728778a0e9b297d8689503f62756a939cbd534ca9b587a</x:v>
      </x:c>
    </x:row>
    <x:row r="72" ht="58" customHeight="1">
      <x:c r="A72" s="23" t="str">
        <x:v>918082942188</x:v>
      </x:c>
      <x:c r="B72" s="22"/>
      <x:c r="C72" s="22"/>
      <x:c r="D72" s="22"/>
      <x:c r="E72" s="9" t="str">
        <x:v>裙长未明确</x:v>
      </x:c>
      <x:c r="F72" s="9" t="str">
        <x:v>裙装</x:v>
      </x:c>
      <x:c r="G72" s="9" t="str">
        <x:v>半身裙</x:v>
      </x:c>
      <x:c r="H72" s="9" t="str">
        <x:v>女</x:v>
      </x:c>
      <x:c r="I72" s="9" t="str">
        <x:v>ANINE BING BAR半身裙  女士浅蓝色真丝半身裙</x:v>
      </x:c>
      <x:c r="J72" s="9" t="str">
        <x:v>ANINE BING</x:v>
      </x:c>
      <x:c r="K72" s="24" t="n">
        <x:v>1510.72</x:v>
      </x:c>
      <x:c r="L72" s="25" t="e">
        <x:f>HYPERLINK("https://item.taobao.com/item.htm?id=918082942188","打开商品")</x:f>
        <x:v>HYPERLINK is not implemented. linkLocation=https://item.taobao.com/item.htm?id=918082942188, friendlyName=打开商品</x:v>
      </x:c>
      <x:c r="M72" s="25" t="e">
        <x:f>HYPERLINK("https://data.zhiyitech.cn/itemDetail/overview/base?itemId=918082942188","打开知衣")</x:f>
        <x:v>HYPERLINK is not implemented. linkLocation=https://data.zhiyitech.cn/itemDetail/overview/base?itemId=918082942188, friendlyName=打开知衣</x:v>
      </x:c>
      <x:c r="N72" s="25" t="e">
        <x:f>HYPERLINK("https://img.alicdn.com/bao/uploaded/i3/2214105642801/O1CN01kUs3nvA8xrL1chua_!!2214105642801.jpg","查看主图")</x:f>
        <x:v>HYPERLINK is not implemented. linkLocation=https://img.alicdn.com/bao/uploaded/i3/2214105642801/O1CN01kUs3nvA8xrL1chua_!!2214105642801.jpg, friendlyName=查看主图</x:v>
      </x:c>
      <x:c r="O72" s="9" t="str">
        <x:v>标题及既有类目语义复核；ANINE BING BAR半身裙  女士浅蓝色真丝半身裙；原类目及标题已能确认半身裙；展示使用已知大类，未知裙长下沉到结构字段，不强猜长短。</x:v>
      </x:c>
      <x:c r="P72" s="9" t="str">
        <x:v>普通男女装</x:v>
      </x:c>
      <x:c r="Q72" s="9" t="str">
        <x:v>W_SKIRTS_AVGPAID_1500_1600_ANNUAL2026.xlsx</x:v>
      </x:c>
      <x:c r="R72" s="9" t="str">
        <x:v>默认</x:v>
      </x:c>
      <x:c r="S72" s="9" t="n">
        <x:v>65</x:v>
      </x:c>
      <x:c r="T72" s="9" t="str">
        <x:v>deede8b56943df4f914be45dba170f12e69064023d6ef0e88dbde1764f6ba23e</x:v>
      </x:c>
      <x:c r="U72" s="9" t="str">
        <x:v>W_SKIRTS_AVGPAID_1500_1600_ANNUAL2026</x:v>
      </x:c>
      <x:c r="V72" s="9" t="str">
        <x:v>W_SKIRTS_AVGPAID_1500_1600_ANNUAL2026.xlsx / 默认 / 第65行 / SHA256 deede8b56943df4f914be45dba170f12e69064023d6ef0e88dbde1764f6ba23e</x:v>
      </x:c>
    </x:row>
    <x:row r="73" ht="58" customHeight="1">
      <x:c r="A73" s="23" t="str">
        <x:v>985827241349</x:v>
      </x:c>
      <x:c r="B73" s="22"/>
      <x:c r="C73" s="22"/>
      <x:c r="D73" s="22"/>
      <x:c r="E73" s="9" t="str">
        <x:v>裙长未明确</x:v>
      </x:c>
      <x:c r="F73" s="9" t="str">
        <x:v>裙装</x:v>
      </x:c>
      <x:c r="G73" s="9" t="str">
        <x:v>半身裙</x:v>
      </x:c>
      <x:c r="H73" s="9" t="str">
        <x:v>女</x:v>
      </x:c>
      <x:c r="I73" s="9" t="str">
        <x:v>ANINE BING ALANIS 半身裙 女士黑色皮革半身裙</x:v>
      </x:c>
      <x:c r="J73" s="9" t="str">
        <x:v>ANINE BING</x:v>
      </x:c>
      <x:c r="K73" s="24" t="n">
        <x:v>1780.82</x:v>
      </x:c>
      <x:c r="L73" s="25" t="e">
        <x:f>HYPERLINK("https://item.taobao.com/item.htm?id=985827241349","打开商品")</x:f>
        <x:v>HYPERLINK is not implemented. linkLocation=https://item.taobao.com/item.htm?id=985827241349, friendlyName=打开商品</x:v>
      </x:c>
      <x:c r="M73" s="25" t="e">
        <x:f>HYPERLINK("https://data.zhiyitech.cn/itemDetail/overview/base?itemId=985827241349","打开知衣")</x:f>
        <x:v>HYPERLINK is not implemented. linkLocation=https://data.zhiyitech.cn/itemDetail/overview/base?itemId=985827241349, friendlyName=打开知衣</x:v>
      </x:c>
      <x:c r="N73" s="25" t="e">
        <x:f>HYPERLINK("https://img.alicdn.com/bao/uploaded/i3/2214105642801/O1CN01A91eiWmgxoJ1chua_!!2214105642801.jpg","查看主图")</x:f>
        <x:v>HYPERLINK is not implemented. linkLocation=https://img.alicdn.com/bao/uploaded/i3/2214105642801/O1CN01A91eiWmgxoJ1chua_!!2214105642801.jpg, friendlyName=查看主图</x:v>
      </x:c>
      <x:c r="O73" s="9" t="str">
        <x:v>标题及既有类目语义复核；ANINE BING ALANIS 半身裙 女士黑色皮革半身裙；原类目及标题已能确认半身裙；展示使用已知大类，未知裙长下沉到结构字段，不强猜长短。</x:v>
      </x:c>
      <x:c r="P73" s="9" t="str">
        <x:v>普通男女装</x:v>
      </x:c>
      <x:c r="Q73" s="9" t="str">
        <x:v>W_SKIRTS_AVGPAID_1700_1800_ANNUAL2026.xlsx</x:v>
      </x:c>
      <x:c r="R73" s="9" t="str">
        <x:v>默认</x:v>
      </x:c>
      <x:c r="S73" s="9" t="n">
        <x:v>334</x:v>
      </x:c>
      <x:c r="T73" s="9" t="str">
        <x:v>c25ed77c53c7c5cfcf728778a0e9b297d8689503f62756a939cbd534ca9b587a</x:v>
      </x:c>
      <x:c r="U73" s="9" t="str">
        <x:v>W_SKIRTS_AVGPAID_1700_1800_ANNUAL2026</x:v>
      </x:c>
      <x:c r="V73" s="9" t="str">
        <x:v>W_SKIRTS_AVGPAID_1700_1800_ANNUAL2026.xlsx / 默认 / 第334行 / SHA256 c25ed77c53c7c5cfcf728778a0e9b297d8689503f62756a939cbd534ca9b587a</x:v>
      </x:c>
    </x:row>
    <x:row r="74" ht="58" customHeight="1">
      <x:c r="A74" s="23" t="str">
        <x:v>1042356272501</x:v>
      </x:c>
      <x:c r="B74" s="22"/>
      <x:c r="C74" s="22"/>
      <x:c r="D74" s="22"/>
      <x:c r="E74" s="9" t="str">
        <x:v>裙长未明确</x:v>
      </x:c>
      <x:c r="F74" s="9" t="str">
        <x:v>裙装</x:v>
      </x:c>
      <x:c r="G74" s="9" t="str">
        <x:v>半身裙</x:v>
      </x:c>
      <x:c r="H74" s="9" t="str">
        <x:v>女</x:v>
      </x:c>
      <x:c r="I74" s="9" t="str">
        <x:v>AnKoRau 安高若街头工装口袋半裙</x:v>
      </x:c>
      <x:c r="J74" s="9" t="str">
        <x:v>ANKORAU/安高若</x:v>
      </x:c>
      <x:c r="K74" s="24" t="n">
        <x:v>1311.76</x:v>
      </x:c>
      <x:c r="L74" s="25" t="e">
        <x:f>HYPERLINK("https://item.taobao.com/item.htm?id=1042356272501","打开商品")</x:f>
        <x:v>HYPERLINK is not implemented. linkLocation=https://item.taobao.com/item.htm?id=1042356272501, friendlyName=打开商品</x:v>
      </x:c>
      <x:c r="M74" s="25" t="e">
        <x:f>HYPERLINK("https://data.zhiyitech.cn/itemDetail/overview/base?itemId=1042356272501","打开知衣")</x:f>
        <x:v>HYPERLINK is not implemented. linkLocation=https://data.zhiyitech.cn/itemDetail/overview/base?itemId=1042356272501, friendlyName=打开知衣</x:v>
      </x:c>
      <x:c r="N74" s="25" t="e">
        <x:f>HYPERLINK("https://img.alicdn.com/bao/uploaded/i3/2185325717/O1CN01WZZTTymSWND2R3rs_!!2185325717.jpg","查看主图")</x:f>
        <x:v>HYPERLINK is not implemented. linkLocation=https://img.alicdn.com/bao/uploaded/i3/2185325717/O1CN01WZZTTymSWND2R3rs_!!2185325717.jpg, friendlyName=查看主图</x:v>
      </x:c>
      <x:c r="O74" s="9" t="str">
        <x:v>标题及既有类目语义复核；AnKoRau 安高若街头工装口袋半裙；原类目及标题已能确认半身裙；展示使用已知大类，未知裙长下沉到结构字段，不强猜长短。</x:v>
      </x:c>
      <x:c r="P74" s="9" t="str">
        <x:v>普通男女装</x:v>
      </x:c>
      <x:c r="Q74" s="9" t="str">
        <x:v>W_SKIRTS_AVGPAID_1300_1400_ANNUAL2026.xlsx</x:v>
      </x:c>
      <x:c r="R74" s="9" t="str">
        <x:v>默认</x:v>
      </x:c>
      <x:c r="S74" s="9" t="n">
        <x:v>33</x:v>
      </x:c>
      <x:c r="T74" s="9" t="str">
        <x:v>bd4dae1e08e9eca7ddd0669235bf59107cdc418b9c2898fc16f36a7ab5748692</x:v>
      </x:c>
      <x:c r="U74" s="9" t="str">
        <x:v>W_SKIRTS_AVGPAID_1300_1400_ANNUAL2026</x:v>
      </x:c>
      <x:c r="V74" s="9" t="str">
        <x:v>W_SKIRTS_AVGPAID_1300_1400_ANNUAL2026.xlsx / 默认 / 第33行 / SHA256 bd4dae1e08e9eca7ddd0669235bf59107cdc418b9c2898fc16f36a7ab5748692</x:v>
      </x:c>
    </x:row>
    <x:row r="75" ht="58" customHeight="1">
      <x:c r="A75" s="23" t="str">
        <x:v>969061703311</x:v>
      </x:c>
      <x:c r="B75" s="22"/>
      <x:c r="C75" s="22"/>
      <x:c r="D75" s="22"/>
      <x:c r="E75" s="9" t="str">
        <x:v>裙长未明确</x:v>
      </x:c>
      <x:c r="F75" s="9" t="str">
        <x:v>裙装</x:v>
      </x:c>
      <x:c r="G75" s="9" t="str">
        <x:v>半身裙</x:v>
      </x:c>
      <x:c r="H75" s="9" t="str">
        <x:v>女</x:v>
      </x:c>
      <x:c r="I75" s="9" t="str">
        <x:v>素然AnKoRau 安高若秋女士户外梭织防泼水多口袋半裙</x:v>
      </x:c>
      <x:c r="J75" s="9" t="str">
        <x:v>ANKORAU/安高若</x:v>
      </x:c>
      <x:c r="K75" s="24" t="n">
        <x:v>1357.26</x:v>
      </x:c>
      <x:c r="L75" s="25" t="e">
        <x:f>HYPERLINK("https://item.taobao.com/item.htm?id=969061703311","打开商品")</x:f>
        <x:v>HYPERLINK is not implemented. linkLocation=https://item.taobao.com/item.htm?id=969061703311, friendlyName=打开商品</x:v>
      </x:c>
      <x:c r="M75" s="25" t="e">
        <x:f>HYPERLINK("https://data.zhiyitech.cn/itemDetail/overview/base?itemId=969061703311","打开知衣")</x:f>
        <x:v>HYPERLINK is not implemented. linkLocation=https://data.zhiyitech.cn/itemDetail/overview/base?itemId=969061703311, friendlyName=打开知衣</x:v>
      </x:c>
      <x:c r="N75" s="25" t="e">
        <x:f>HYPERLINK("https://img.alicdn.com/bao/uploaded/i1/2185325717/O1CN01mMQcoPn2w7C1chua_!!2185325717.jpg","查看主图")</x:f>
        <x:v>HYPERLINK is not implemented. linkLocation=https://img.alicdn.com/bao/uploaded/i1/2185325717/O1CN01mMQcoPn2w7C1chua_!!2185325717.jpg, friendlyName=查看主图</x:v>
      </x:c>
      <x:c r="O75" s="9" t="str">
        <x:v>标题及既有类目语义复核；素然AnKoRau 安高若秋女士户外梭织防泼水多口袋半裙；原类目及标题已能确认半身裙；展示使用已知大类，未知裙长下沉到结构字段，不强猜长短。</x:v>
      </x:c>
      <x:c r="P75" s="9" t="str">
        <x:v>普通男女装</x:v>
      </x:c>
      <x:c r="Q75" s="9" t="str">
        <x:v>W_SKIRTS_AVGPAID_1300_1400_ANNUAL2026.xlsx</x:v>
      </x:c>
      <x:c r="R75" s="9" t="str">
        <x:v>默认</x:v>
      </x:c>
      <x:c r="S75" s="9" t="n">
        <x:v>71</x:v>
      </x:c>
      <x:c r="T75" s="9" t="str">
        <x:v>bd4dae1e08e9eca7ddd0669235bf59107cdc418b9c2898fc16f36a7ab5748692</x:v>
      </x:c>
      <x:c r="U75" s="9" t="str">
        <x:v>W_SKIRTS_AVGPAID_1300_1400_ANNUAL2026</x:v>
      </x:c>
      <x:c r="V75" s="9" t="str">
        <x:v>W_SKIRTS_AVGPAID_1300_1400_ANNUAL2026.xlsx / 默认 / 第71行 / SHA256 bd4dae1e08e9eca7ddd0669235bf59107cdc418b9c2898fc16f36a7ab5748692</x:v>
      </x:c>
    </x:row>
    <x:row r="76" ht="58" customHeight="1">
      <x:c r="A76" s="23" t="str">
        <x:v>953438250795</x:v>
      </x:c>
      <x:c r="B76" s="22"/>
      <x:c r="C76" s="22"/>
      <x:c r="D76" s="22"/>
      <x:c r="E76" s="9" t="str">
        <x:v>裙长未明确</x:v>
      </x:c>
      <x:c r="F76" s="9" t="str">
        <x:v>裙装</x:v>
      </x:c>
      <x:c r="G76" s="9" t="str">
        <x:v>半身裙</x:v>
      </x:c>
      <x:c r="H76" s="9" t="str">
        <x:v>女</x:v>
      </x:c>
      <x:c r="I76" s="9" t="str">
        <x:v>商场同款-ANNMEL恩曼琳25秋季新款醋纤修身鱼尾半身裙XRA5Q05A</x:v>
      </x:c>
      <x:c r="J76" s="9" t="str">
        <x:v>ANMANI/恩曼琳</x:v>
      </x:c>
      <x:c r="K76" s="24" t="n">
        <x:v>1702.1</x:v>
      </x:c>
      <x:c r="L76" s="25" t="e">
        <x:f>HYPERLINK("https://item.taobao.com/item.htm?id=953438250795","打开商品")</x:f>
        <x:v>HYPERLINK is not implemented. linkLocation=https://item.taobao.com/item.htm?id=953438250795, friendlyName=打开商品</x:v>
      </x:c>
      <x:c r="M76" s="25" t="e">
        <x:f>HYPERLINK("https://data.zhiyitech.cn/itemDetail/overview/base?itemId=953438250795","打开知衣")</x:f>
        <x:v>HYPERLINK is not implemented. linkLocation=https://data.zhiyitech.cn/itemDetail/overview/base?itemId=953438250795, friendlyName=打开知衣</x:v>
      </x:c>
      <x:c r="N76" s="25" t="e">
        <x:f>HYPERLINK("https://img.alicdn.com/bao/uploaded/i2/1098364456/O1CN01mSokhy1imtwzUZCnB_!!4611686018427385384-0-item_pic.jpg","查看主图")</x:f>
        <x:v>HYPERLINK is not implemented. linkLocation=https://img.alicdn.com/bao/uploaded/i2/1098364456/O1CN01mSokhy1imtwzUZCnB_!!4611686018427385384-0-item_pic.jpg, friendlyName=查看主图</x:v>
      </x:c>
      <x:c r="O76" s="9" t="str">
        <x:v>标题及既有类目语义复核；商场同款-ANNMEL恩曼琳25秋季新款醋纤修身鱼尾半身裙XRA5Q05A；原类目及标题已能确认半身裙；展示使用已知大类，未知裙长下沉到结构字段，不强猜长短。</x:v>
      </x:c>
      <x:c r="P76" s="9" t="str">
        <x:v>普通男女装</x:v>
      </x:c>
      <x:c r="Q76" s="9" t="str">
        <x:v>W_SKIRTS_AVGPAID_1700_1800_ANNUAL2026.xlsx</x:v>
      </x:c>
      <x:c r="R76" s="9" t="str">
        <x:v>默认</x:v>
      </x:c>
      <x:c r="S76" s="9" t="n">
        <x:v>376</x:v>
      </x:c>
      <x:c r="T76" s="9" t="str">
        <x:v>c25ed77c53c7c5cfcf728778a0e9b297d8689503f62756a939cbd534ca9b587a</x:v>
      </x:c>
      <x:c r="U76" s="9" t="str">
        <x:v>W_SKIRTS_AVGPAID_1700_1800_ANNUAL2026</x:v>
      </x:c>
      <x:c r="V76" s="9" t="str">
        <x:v>W_SKIRTS_AVGPAID_1700_1800_ANNUAL2026.xlsx / 默认 / 第376行 / SHA256 c25ed77c53c7c5cfcf728778a0e9b297d8689503f62756a939cbd534ca9b587a</x:v>
      </x:c>
    </x:row>
    <x:row r="77" ht="58" customHeight="1">
      <x:c r="A77" s="23" t="str">
        <x:v>966236375669</x:v>
      </x:c>
      <x:c r="B77" s="22"/>
      <x:c r="C77" s="22"/>
      <x:c r="D77" s="22"/>
      <x:c r="E77" s="9" t="str">
        <x:v>裙长未明确</x:v>
      </x:c>
      <x:c r="F77" s="9" t="str">
        <x:v>裙装</x:v>
      </x:c>
      <x:c r="G77" s="9" t="str">
        <x:v>半身裙</x:v>
      </x:c>
      <x:c r="H77" s="9" t="str">
        <x:v>女</x:v>
      </x:c>
      <x:c r="I77" s="9" t="str">
        <x:v>商场同款-ANNMEL恩曼琳25秋季新款皮质包臀鱼尾半身裙XRA4Q07A</x:v>
      </x:c>
      <x:c r="J77" s="9" t="str">
        <x:v>ANMANI/恩曼琳</x:v>
      </x:c>
      <x:c r="K77" s="24" t="n">
        <x:v>1732.37</x:v>
      </x:c>
      <x:c r="L77" s="25" t="e">
        <x:f>HYPERLINK("https://item.taobao.com/item.htm?id=966236375669","打开商品")</x:f>
        <x:v>HYPERLINK is not implemented. linkLocation=https://item.taobao.com/item.htm?id=966236375669, friendlyName=打开商品</x:v>
      </x:c>
      <x:c r="M77" s="25" t="e">
        <x:f>HYPERLINK("https://data.zhiyitech.cn/itemDetail/overview/base?itemId=966236375669","打开知衣")</x:f>
        <x:v>HYPERLINK is not implemented. linkLocation=https://data.zhiyitech.cn/itemDetail/overview/base?itemId=966236375669, friendlyName=打开知衣</x:v>
      </x:c>
      <x:c r="N77" s="25" t="e">
        <x:f>HYPERLINK("https://img.alicdn.com/bao/uploaded/i1/1098364456/O1CN01yeTHHG1imtxAjqo7m_!!4611686018427385384-0-item_pic.jpg","查看主图")</x:f>
        <x:v>HYPERLINK is not implemented. linkLocation=https://img.alicdn.com/bao/uploaded/i1/1098364456/O1CN01yeTHHG1imtxAjqo7m_!!4611686018427385384-0-item_pic.jpg, friendlyName=查看主图</x:v>
      </x:c>
      <x:c r="O77" s="9" t="str">
        <x:v>标题及既有类目语义复核；商场同款-ANNMEL恩曼琳25秋季新款皮质包臀鱼尾半身裙XRA4Q07A；原类目及标题已能确认半身裙；展示使用已知大类，未知裙长下沉到结构字段，不强猜长短。</x:v>
      </x:c>
      <x:c r="P77" s="9" t="str">
        <x:v>普通男女装</x:v>
      </x:c>
      <x:c r="Q77" s="9" t="str">
        <x:v>W_SKIRTS_AVGPAID_1700_1800_ANNUAL2026.xlsx</x:v>
      </x:c>
      <x:c r="R77" s="9" t="str">
        <x:v>默认</x:v>
      </x:c>
      <x:c r="S77" s="9" t="n">
        <x:v>468</x:v>
      </x:c>
      <x:c r="T77" s="9" t="str">
        <x:v>c25ed77c53c7c5cfcf728778a0e9b297d8689503f62756a939cbd534ca9b587a</x:v>
      </x:c>
      <x:c r="U77" s="9" t="str">
        <x:v>W_SKIRTS_AVGPAID_1700_1800_ANNUAL2026</x:v>
      </x:c>
      <x:c r="V77" s="9" t="str">
        <x:v>W_SKIRTS_AVGPAID_1700_1800_ANNUAL2026.xlsx / 默认 / 第468行 / SHA256 c25ed77c53c7c5cfcf728778a0e9b297d8689503f62756a939cbd534ca9b587a</x:v>
      </x:c>
    </x:row>
    <x:row r="78" ht="58" customHeight="1">
      <x:c r="A78" s="23" t="str">
        <x:v>1023294938079</x:v>
      </x:c>
      <x:c r="B78" s="22"/>
      <x:c r="C78" s="22"/>
      <x:c r="D78" s="22"/>
      <x:c r="E78" s="9" t="str">
        <x:v>裙长未明确</x:v>
      </x:c>
      <x:c r="F78" s="9" t="str">
        <x:v>裙装</x:v>
      </x:c>
      <x:c r="G78" s="9" t="str">
        <x:v>半身裙</x:v>
      </x:c>
      <x:c r="H78" s="9" t="str">
        <x:v>女</x:v>
      </x:c>
      <x:c r="I78" s="9" t="str">
        <x:v>ANN ANDELMAN不规则解构撞色西装半身裙设计感牛仔半裙夏季新款</x:v>
      </x:c>
      <x:c r="J78" s="9" t="str">
        <x:v>ANN ANDELMAN</x:v>
      </x:c>
      <x:c r="K78" s="24" t="n">
        <x:v>1509.28</x:v>
      </x:c>
      <x:c r="L78" s="25" t="e">
        <x:f>HYPERLINK("https://item.taobao.com/item.htm?id=1023294938079","打开商品")</x:f>
        <x:v>HYPERLINK is not implemented. linkLocation=https://item.taobao.com/item.htm?id=1023294938079, friendlyName=打开商品</x:v>
      </x:c>
      <x:c r="M78" s="25" t="e">
        <x:f>HYPERLINK("https://data.zhiyitech.cn/itemDetail/overview/base?itemId=1023294938079","打开知衣")</x:f>
        <x:v>HYPERLINK is not implemented. linkLocation=https://data.zhiyitech.cn/itemDetail/overview/base?itemId=1023294938079, friendlyName=打开知衣</x:v>
      </x:c>
      <x:c r="N78" s="25" t="e">
        <x:f>HYPERLINK("https://img.alicdn.com/bao/uploaded/i3/2210511483871/O1CN01SiKVJZifUmL2vH2e_!!2210511483871.jpg","查看主图")</x:f>
        <x:v>HYPERLINK is not implemented. linkLocation=https://img.alicdn.com/bao/uploaded/i3/2210511483871/O1CN01SiKVJZifUmL2vH2e_!!2210511483871.jpg, friendlyName=查看主图</x:v>
      </x:c>
      <x:c r="O78" s="9" t="str">
        <x:v>标题及既有类目语义复核；ANN ANDELMAN不规则解构撞色西装半身裙设计感牛仔半裙夏季新款；原类目及标题已能确认半身裙；展示使用已知大类，未知裙长下沉到结构字段，不强猜长短。</x:v>
      </x:c>
      <x:c r="P78" s="9" t="str">
        <x:v>普通男女装</x:v>
      </x:c>
      <x:c r="Q78" s="9" t="str">
        <x:v>W_SKIRTS_AVGPAID_1500_1600_ANNUAL2026.xlsx</x:v>
      </x:c>
      <x:c r="R78" s="9" t="str">
        <x:v>默认</x:v>
      </x:c>
      <x:c r="S78" s="9" t="n">
        <x:v>116</x:v>
      </x:c>
      <x:c r="T78" s="9" t="str">
        <x:v>deede8b56943df4f914be45dba170f12e69064023d6ef0e88dbde1764f6ba23e</x:v>
      </x:c>
      <x:c r="U78" s="9" t="str">
        <x:v>W_SKIRTS_AVGPAID_1500_1600_ANNUAL2026</x:v>
      </x:c>
      <x:c r="V78" s="9" t="str">
        <x:v>W_SKIRTS_AVGPAID_1500_1600_ANNUAL2026.xlsx / 默认 / 第116行 / SHA256 deede8b56943df4f914be45dba170f12e69064023d6ef0e88dbde1764f6ba23e</x:v>
      </x:c>
    </x:row>
    <x:row r="79" ht="58" customHeight="1">
      <x:c r="A79" s="23" t="str">
        <x:v>1029192171785</x:v>
      </x:c>
      <x:c r="B79" s="22"/>
      <x:c r="C79" s="22"/>
      <x:c r="D79" s="22"/>
      <x:c r="E79" s="9" t="str">
        <x:v>裙长未明确</x:v>
      </x:c>
      <x:c r="F79" s="9" t="str">
        <x:v>裙装</x:v>
      </x:c>
      <x:c r="G79" s="9" t="str">
        <x:v>半身裙</x:v>
      </x:c>
      <x:c r="H79" s="9" t="str">
        <x:v>女</x:v>
      </x:c>
      <x:c r="I79" s="9" t="str">
        <x:v>ANN ANDELMAN官方直营不规则裙摆针织半身裙设计感显瘦优雅A字裙</x:v>
      </x:c>
      <x:c r="J79" s="9" t="str">
        <x:v>ANN ANDELMAN</x:v>
      </x:c>
      <x:c r="K79" s="24" t="n">
        <x:v>1793.18</x:v>
      </x:c>
      <x:c r="L79" s="25" t="e">
        <x:f>HYPERLINK("https://item.taobao.com/item.htm?id=1029192171785","打开商品")</x:f>
        <x:v>HYPERLINK is not implemented. linkLocation=https://item.taobao.com/item.htm?id=1029192171785, friendlyName=打开商品</x:v>
      </x:c>
      <x:c r="M79" s="25" t="e">
        <x:f>HYPERLINK("https://data.zhiyitech.cn/itemDetail/overview/base?itemId=1029192171785","打开知衣")</x:f>
        <x:v>HYPERLINK is not implemented. linkLocation=https://data.zhiyitech.cn/itemDetail/overview/base?itemId=1029192171785, friendlyName=打开知衣</x:v>
      </x:c>
      <x:c r="N79" s="25" t="e">
        <x:f>HYPERLINK("https://img.alicdn.com/bao/uploaded/i4/2210511483871/O1CN01gZp37I1eSyJw34vDF_!!4611686018427384799-0-item_pic.jpg","查看主图")</x:f>
        <x:v>HYPERLINK is not implemented. linkLocation=https://img.alicdn.com/bao/uploaded/i4/2210511483871/O1CN01gZp37I1eSyJw34vDF_!!4611686018427384799-0-item_pic.jpg, friendlyName=查看主图</x:v>
      </x:c>
      <x:c r="O79" s="9" t="str">
        <x:v>标题及既有类目语义复核；ANN ANDELMAN官方直营不规则裙摆针织半身裙设计感显瘦优雅A字裙；原类目及标题已能确认半身裙；展示使用已知大类，未知裙长下沉到结构字段，不强猜长短。</x:v>
      </x:c>
      <x:c r="P79" s="9" t="str">
        <x:v>普通男女装</x:v>
      </x:c>
      <x:c r="Q79" s="9" t="str">
        <x:v>W_SKIRTS_AVGPAID_1700_1800_ANNUAL2026.xlsx</x:v>
      </x:c>
      <x:c r="R79" s="9" t="str">
        <x:v>默认</x:v>
      </x:c>
      <x:c r="S79" s="9" t="n">
        <x:v>50</x:v>
      </x:c>
      <x:c r="T79" s="9" t="str">
        <x:v>c25ed77c53c7c5cfcf728778a0e9b297d8689503f62756a939cbd534ca9b587a</x:v>
      </x:c>
      <x:c r="U79" s="9" t="str">
        <x:v>W_SKIRTS_AVGPAID_1700_1800_ANNUAL2026</x:v>
      </x:c>
      <x:c r="V79" s="9" t="str">
        <x:v>W_SKIRTS_AVGPAID_1700_1800_ANNUAL2026.xlsx / 默认 / 第50行 / SHA256 c25ed77c53c7c5cfcf728778a0e9b297d8689503f62756a939cbd534ca9b587a</x:v>
      </x:c>
    </x:row>
    <x:row r="80" ht="58" customHeight="1">
      <x:c r="A80" s="23" t="str">
        <x:v>1037102380730</x:v>
      </x:c>
      <x:c r="B80" s="22"/>
      <x:c r="C80" s="22"/>
      <x:c r="D80" s="22"/>
      <x:c r="E80" s="9" t="str">
        <x:v>裙长未明确</x:v>
      </x:c>
      <x:c r="F80" s="9" t="str">
        <x:v>裙装</x:v>
      </x:c>
      <x:c r="G80" s="9" t="str">
        <x:v>半身裙</x:v>
      </x:c>
      <x:c r="H80" s="9" t="str">
        <x:v>女</x:v>
      </x:c>
      <x:c r="I80" s="9" t="str">
        <x:v>叶舒华同款ANN ANDELMAN丝巾绑带百褶裙女装藏蓝色蝴蝶结半身裙</x:v>
      </x:c>
      <x:c r="J80" s="9" t="str">
        <x:v>ANN ANDELMAN</x:v>
      </x:c>
      <x:c r="K80" s="24" t="n">
        <x:v>1520.67</x:v>
      </x:c>
      <x:c r="L80" s="25" t="e">
        <x:f>HYPERLINK("https://item.taobao.com/item.htm?id=1037102380730","打开商品")</x:f>
        <x:v>HYPERLINK is not implemented. linkLocation=https://item.taobao.com/item.htm?id=1037102380730, friendlyName=打开商品</x:v>
      </x:c>
      <x:c r="M80" s="25" t="e">
        <x:f>HYPERLINK("https://data.zhiyitech.cn/itemDetail/overview/base?itemId=1037102380730","打开知衣")</x:f>
        <x:v>HYPERLINK is not implemented. linkLocation=https://data.zhiyitech.cn/itemDetail/overview/base?itemId=1037102380730, friendlyName=打开知衣</x:v>
      </x:c>
      <x:c r="N80" s="25" t="e">
        <x:f>HYPERLINK("https://img.alicdn.com/bao/uploaded/i4/2210511483871/O1CN01OD9OGZahblG2vH2e_!!4611686018427384799-0-item_pic.jpg","查看主图")</x:f>
        <x:v>HYPERLINK is not implemented. linkLocation=https://img.alicdn.com/bao/uploaded/i4/2210511483871/O1CN01OD9OGZahblG2vH2e_!!4611686018427384799-0-item_pic.jpg, friendlyName=查看主图</x:v>
      </x:c>
      <x:c r="O80" s="9" t="str">
        <x:v>标题及既有类目语义复核；叶舒华同款ANN ANDELMAN丝巾绑带百褶裙女装藏蓝色蝴蝶结半身裙；原类目及标题已能确认半身裙；展示使用已知大类，未知裙长下沉到结构字段，不强猜长短。</x:v>
      </x:c>
      <x:c r="P80" s="9" t="str">
        <x:v>普通男女装</x:v>
      </x:c>
      <x:c r="Q80" s="9" t="str">
        <x:v>W_SKIRTS_AVGPAID_1500_1600_ANNUAL2026.xlsx</x:v>
      </x:c>
      <x:c r="R80" s="9" t="str">
        <x:v>默认</x:v>
      </x:c>
      <x:c r="S80" s="9" t="n">
        <x:v>69</x:v>
      </x:c>
      <x:c r="T80" s="9" t="str">
        <x:v>deede8b56943df4f914be45dba170f12e69064023d6ef0e88dbde1764f6ba23e</x:v>
      </x:c>
      <x:c r="U80" s="9" t="str">
        <x:v>W_SKIRTS_AVGPAID_1500_1600_ANNUAL2026</x:v>
      </x:c>
      <x:c r="V80" s="9" t="str">
        <x:v>W_SKIRTS_AVGPAID_1500_1600_ANNUAL2026.xlsx / 默认 / 第69行 / SHA256 deede8b56943df4f914be45dba170f12e69064023d6ef0e88dbde1764f6ba23e</x:v>
      </x:c>
    </x:row>
    <x:row r="81" ht="58" customHeight="1">
      <x:c r="A81" s="23" t="str">
        <x:v>1059866205730</x:v>
      </x:c>
      <x:c r="B81" s="22"/>
      <x:c r="C81" s="22"/>
      <x:c r="D81" s="22"/>
      <x:c r="E81" s="9" t="str">
        <x:v>裙长未明确</x:v>
      </x:c>
      <x:c r="F81" s="9" t="str">
        <x:v>裙装</x:v>
      </x:c>
      <x:c r="G81" s="9" t="str">
        <x:v>半身裙</x:v>
      </x:c>
      <x:c r="H81" s="9" t="str">
        <x:v>女</x:v>
      </x:c>
      <x:c r="I81" s="9" t="str">
        <x:v>田曦薇同款ANN ANDELMAN拼接可翻折半裙灰色遮肚显瘦A字百褶裙</x:v>
      </x:c>
      <x:c r="J81" s="9" t="str">
        <x:v>ANN ANDELMAN</x:v>
      </x:c>
      <x:c r="K81" s="24" t="n">
        <x:v>1509.53</x:v>
      </x:c>
      <x:c r="L81" s="25" t="e">
        <x:f>HYPERLINK("https://item.taobao.com/item.htm?id=1059866205730","打开商品")</x:f>
        <x:v>HYPERLINK is not implemented. linkLocation=https://item.taobao.com/item.htm?id=1059866205730, friendlyName=打开商品</x:v>
      </x:c>
      <x:c r="M81" s="25" t="e">
        <x:f>HYPERLINK("https://data.zhiyitech.cn/itemDetail/overview/base?itemId=1059866205730","打开知衣")</x:f>
        <x:v>HYPERLINK is not implemented. linkLocation=https://data.zhiyitech.cn/itemDetail/overview/base?itemId=1059866205730, friendlyName=打开知衣</x:v>
      </x:c>
      <x:c r="N81" s="25" t="e">
        <x:f>HYPERLINK("https://img.alicdn.com/bao/uploaded/i3/2210511483871/O1CN010QA8FyXwDZI2vH2e_!!4611686018427384799-0-item_pic.jpg","查看主图")</x:f>
        <x:v>HYPERLINK is not implemented. linkLocation=https://img.alicdn.com/bao/uploaded/i3/2210511483871/O1CN010QA8FyXwDZI2vH2e_!!4611686018427384799-0-item_pic.jpg, friendlyName=查看主图</x:v>
      </x:c>
      <x:c r="O81" s="9" t="str">
        <x:v>标题及既有类目语义复核；田曦薇同款ANN ANDELMAN拼接可翻折半裙灰色遮肚显瘦A字百褶裙；原类目及标题已能确认半身裙；展示使用已知大类，未知裙长下沉到结构字段，不强猜长短。</x:v>
      </x:c>
      <x:c r="P81" s="9" t="str">
        <x:v>普通男女装</x:v>
      </x:c>
      <x:c r="Q81" s="9" t="str">
        <x:v>W_SKIRTS_AVGPAID_1500_1600_ANNUAL2026.xlsx</x:v>
      </x:c>
      <x:c r="R81" s="9" t="str">
        <x:v>默认</x:v>
      </x:c>
      <x:c r="S81" s="9" t="n">
        <x:v>165</x:v>
      </x:c>
      <x:c r="T81" s="9" t="str">
        <x:v>deede8b56943df4f914be45dba170f12e69064023d6ef0e88dbde1764f6ba23e</x:v>
      </x:c>
      <x:c r="U81" s="9" t="str">
        <x:v>W_SKIRTS_AVGPAID_1500_1600_ANNUAL2026</x:v>
      </x:c>
      <x:c r="V81" s="9" t="str">
        <x:v>W_SKIRTS_AVGPAID_1500_1600_ANNUAL2026.xlsx / 默认 / 第165行 / SHA256 deede8b56943df4f914be45dba170f12e69064023d6ef0e88dbde1764f6ba23e</x:v>
      </x:c>
    </x:row>
    <x:row r="82" ht="58" customHeight="1">
      <x:c r="A82" s="23" t="str">
        <x:v>1076665295568</x:v>
      </x:c>
      <x:c r="B82" s="22"/>
      <x:c r="C82" s="22"/>
      <x:c r="D82" s="22"/>
      <x:c r="E82" s="9" t="str">
        <x:v>裙长未明确</x:v>
      </x:c>
      <x:c r="F82" s="9" t="str">
        <x:v>裙装</x:v>
      </x:c>
      <x:c r="G82" s="9" t="str">
        <x:v>半身裙</x:v>
      </x:c>
      <x:c r="H82" s="9" t="str">
        <x:v>女</x:v>
      </x:c>
      <x:c r="I82" s="9" t="str">
        <x:v>ANN ANDELMAN官方直营牛仔撞线半裙时髦小众原色时尚优雅牛仔裙</x:v>
      </x:c>
      <x:c r="J82" s="9" t="str">
        <x:v>ANN ANDELMAN</x:v>
      </x:c>
      <x:c r="K82" s="24" t="n">
        <x:v>1597.67</x:v>
      </x:c>
      <x:c r="L82" s="25" t="e">
        <x:f>HYPERLINK("https://item.taobao.com/item.htm?id=1076665295568","打开商品")</x:f>
        <x:v>HYPERLINK is not implemented. linkLocation=https://item.taobao.com/item.htm?id=1076665295568, friendlyName=打开商品</x:v>
      </x:c>
      <x:c r="M82" s="25" t="e">
        <x:f>HYPERLINK("https://data.zhiyitech.cn/itemDetail/overview/base?itemId=1076665295568","打开知衣")</x:f>
        <x:v>HYPERLINK is not implemented. linkLocation=https://data.zhiyitech.cn/itemDetail/overview/base?itemId=1076665295568, friendlyName=打开知衣</x:v>
      </x:c>
      <x:c r="N82" s="25" t="e">
        <x:f>HYPERLINK("https://img.alicdn.com/bao/uploaded/i1/2210511483871/O1CN01Pvb8XX1eSyK3nrcp1_!!4611686018427384799-0-item_pic.jpg","查看主图")</x:f>
        <x:v>HYPERLINK is not implemented. linkLocation=https://img.alicdn.com/bao/uploaded/i1/2210511483871/O1CN01Pvb8XX1eSyK3nrcp1_!!4611686018427384799-0-item_pic.jpg, friendlyName=查看主图</x:v>
      </x:c>
      <x:c r="O82" s="9" t="str">
        <x:v>标题及既有类目语义复核；ANN ANDELMAN官方直营牛仔撞线半裙时髦小众原色时尚优雅牛仔裙；原类目及标题已能确认半身裙；展示使用已知大类，未知裙长下沉到结构字段，不强猜长短。</x:v>
      </x:c>
      <x:c r="P82" s="9" t="str">
        <x:v>普通男女装</x:v>
      </x:c>
      <x:c r="Q82" s="9" t="str">
        <x:v>W_SKIRTS_AVGPAID_1500_1600_ANNUAL2026.xlsx</x:v>
      </x:c>
      <x:c r="R82" s="9" t="str">
        <x:v>默认</x:v>
      </x:c>
      <x:c r="S82" s="9" t="n">
        <x:v>363</x:v>
      </x:c>
      <x:c r="T82" s="9" t="str">
        <x:v>deede8b56943df4f914be45dba170f12e69064023d6ef0e88dbde1764f6ba23e</x:v>
      </x:c>
      <x:c r="U82" s="9" t="str">
        <x:v>W_SKIRTS_AVGPAID_1500_1600_ANNUAL2026</x:v>
      </x:c>
      <x:c r="V82" s="9" t="str">
        <x:v>W_SKIRTS_AVGPAID_1500_1600_ANNUAL2026.xlsx / 默认 / 第363行 / SHA256 deede8b56943df4f914be45dba170f12e69064023d6ef0e88dbde1764f6ba23e</x:v>
      </x:c>
    </x:row>
    <x:row r="83" ht="58" customHeight="1">
      <x:c r="A83" s="23" t="str">
        <x:v>1083015954763</x:v>
      </x:c>
      <x:c r="B83" s="22"/>
      <x:c r="C83" s="22"/>
      <x:c r="D83" s="22"/>
      <x:c r="E83" s="9" t="str">
        <x:v>裙长未明确</x:v>
      </x:c>
      <x:c r="F83" s="9" t="str">
        <x:v>裙装</x:v>
      </x:c>
      <x:c r="G83" s="9" t="str">
        <x:v>半身裙</x:v>
      </x:c>
      <x:c r="H83" s="9" t="str">
        <x:v>女</x:v>
      </x:c>
      <x:c r="I83" s="9" t="str">
        <x:v>ANN ANDELMAN官方直营格子薄款铅笔裙复古格纹显瘦中裙包臀半身裙</x:v>
      </x:c>
      <x:c r="J83" s="9" t="str">
        <x:v>ANN ANDELMAN</x:v>
      </x:c>
      <x:c r="K83" s="24" t="n">
        <x:v>1739.6</x:v>
      </x:c>
      <x:c r="L83" s="25" t="e">
        <x:f>HYPERLINK("https://item.taobao.com/item.htm?id=1083015954763","打开商品")</x:f>
        <x:v>HYPERLINK is not implemented. linkLocation=https://item.taobao.com/item.htm?id=1083015954763, friendlyName=打开商品</x:v>
      </x:c>
      <x:c r="M83" s="25" t="e">
        <x:f>HYPERLINK("https://data.zhiyitech.cn/itemDetail/overview/base?itemId=1083015954763","打开知衣")</x:f>
        <x:v>HYPERLINK is not implemented. linkLocation=https://data.zhiyitech.cn/itemDetail/overview/base?itemId=1083015954763, friendlyName=打开知衣</x:v>
      </x:c>
      <x:c r="N83" s="25" t="e">
        <x:f>HYPERLINK("https://img.alicdn.com/bao/uploaded/i1/2210511483871/O1CN01sT7iAMNOhqJ2vH2e_!!4611686018427384799-0-item_pic.jpg","查看主图")</x:f>
        <x:v>HYPERLINK is not implemented. linkLocation=https://img.alicdn.com/bao/uploaded/i1/2210511483871/O1CN01sT7iAMNOhqJ2vH2e_!!4611686018427384799-0-item_pic.jpg, friendlyName=查看主图</x:v>
      </x:c>
      <x:c r="O83" s="9" t="str">
        <x:v>标题及既有类目语义复核；ANN ANDELMAN官方直营格子薄款铅笔裙复古格纹显瘦中裙包臀半身裙；原类目及标题已能确认半身裙；展示使用已知大类，未知裙长下沉到结构字段，不强猜长短。</x:v>
      </x:c>
      <x:c r="P83" s="9" t="str">
        <x:v>普通男女装</x:v>
      </x:c>
      <x:c r="Q83" s="9" t="str">
        <x:v>W_SKIRTS_AVGPAID_1700_1800_ANNUAL2026.xlsx</x:v>
      </x:c>
      <x:c r="R83" s="9" t="str">
        <x:v>默认</x:v>
      </x:c>
      <x:c r="S83" s="9" t="n">
        <x:v>464</x:v>
      </x:c>
      <x:c r="T83" s="9" t="str">
        <x:v>c25ed77c53c7c5cfcf728778a0e9b297d8689503f62756a939cbd534ca9b587a</x:v>
      </x:c>
      <x:c r="U83" s="9" t="str">
        <x:v>W_SKIRTS_AVGPAID_1700_1800_ANNUAL2026</x:v>
      </x:c>
      <x:c r="V83" s="9" t="str">
        <x:v>W_SKIRTS_AVGPAID_1700_1800_ANNUAL2026.xlsx / 默认 / 第464行 / SHA256 c25ed77c53c7c5cfcf728778a0e9b297d8689503f62756a939cbd534ca9b587a</x:v>
      </x:c>
    </x:row>
    <x:row r="84" ht="58" customHeight="1">
      <x:c r="A84" s="23" t="str">
        <x:v>872145402773</x:v>
      </x:c>
      <x:c r="B84" s="22"/>
      <x:c r="C84" s="22"/>
      <x:c r="D84" s="22"/>
      <x:c r="E84" s="9" t="str">
        <x:v>裙长未明确</x:v>
      </x:c>
      <x:c r="F84" s="9" t="str">
        <x:v>裙装</x:v>
      </x:c>
      <x:c r="G84" s="9" t="str">
        <x:v>半身裙</x:v>
      </x:c>
      <x:c r="H84" s="9" t="str">
        <x:v>女</x:v>
      </x:c>
      <x:c r="I84" s="9" t="str">
        <x:v>ANNANDELMAN拼色腰头绑带半裙</x:v>
      </x:c>
      <x:c r="J84" s="9" t="str">
        <x:v>ANN ANDELMAN</x:v>
      </x:c>
      <x:c r="K84" s="24" t="n">
        <x:v>1765.88</x:v>
      </x:c>
      <x:c r="L84" s="25" t="e">
        <x:f>HYPERLINK("https://item.taobao.com/item.htm?id=872145402773","打开商品")</x:f>
        <x:v>HYPERLINK is not implemented. linkLocation=https://item.taobao.com/item.htm?id=872145402773, friendlyName=打开商品</x:v>
      </x:c>
      <x:c r="M84" s="25" t="e">
        <x:f>HYPERLINK("https://data.zhiyitech.cn/itemDetail/overview/base?itemId=872145402773","打开知衣")</x:f>
        <x:v>HYPERLINK is not implemented. linkLocation=https://data.zhiyitech.cn/itemDetail/overview/base?itemId=872145402773, friendlyName=打开知衣</x:v>
      </x:c>
      <x:c r="N84" s="25" t="e">
        <x:f>HYPERLINK("https://img.alicdn.com/bao/uploaded/i4/2210511483871/O1CN01jtUCKV1eSyDTv6d7I_!!4611686018427384799-0-item_pic.jpg","查看主图")</x:f>
        <x:v>HYPERLINK is not implemented. linkLocation=https://img.alicdn.com/bao/uploaded/i4/2210511483871/O1CN01jtUCKV1eSyDTv6d7I_!!4611686018427384799-0-item_pic.jpg, friendlyName=查看主图</x:v>
      </x:c>
      <x:c r="O84" s="9" t="str">
        <x:v>标题及既有类目语义复核；ANNANDELMAN拼色腰头绑带半裙；原类目及标题已能确认半身裙；展示使用已知大类，未知裙长下沉到结构字段，不强猜长短。</x:v>
      </x:c>
      <x:c r="P84" s="9" t="str">
        <x:v>普通男女装</x:v>
      </x:c>
      <x:c r="Q84" s="9" t="str">
        <x:v>W_SKIRTS_AVGPAID_1700_1800_ANNUAL2026.xlsx</x:v>
      </x:c>
      <x:c r="R84" s="9" t="str">
        <x:v>默认</x:v>
      </x:c>
      <x:c r="S84" s="9" t="n">
        <x:v>149</x:v>
      </x:c>
      <x:c r="T84" s="9" t="str">
        <x:v>c25ed77c53c7c5cfcf728778a0e9b297d8689503f62756a939cbd534ca9b587a</x:v>
      </x:c>
      <x:c r="U84" s="9" t="str">
        <x:v>W_SKIRTS_AVGPAID_1700_1800_ANNUAL2026</x:v>
      </x:c>
      <x:c r="V84" s="9" t="str">
        <x:v>W_SKIRTS_AVGPAID_1700_1800_ANNUAL2026.xlsx / 默认 / 第149行 / SHA256 c25ed77c53c7c5cfcf728778a0e9b297d8689503f62756a939cbd534ca9b587a</x:v>
      </x:c>
    </x:row>
    <x:row r="85" ht="58" customHeight="1">
      <x:c r="A85" s="23" t="str">
        <x:v>899637788055</x:v>
      </x:c>
      <x:c r="B85" s="22"/>
      <x:c r="C85" s="22"/>
      <x:c r="D85" s="22"/>
      <x:c r="E85" s="9" t="str">
        <x:v>裙长未明确</x:v>
      </x:c>
      <x:c r="F85" s="9" t="str">
        <x:v>裙装</x:v>
      </x:c>
      <x:c r="G85" s="9" t="str">
        <x:v>半身裙</x:v>
      </x:c>
      <x:c r="H85" s="9" t="str">
        <x:v>女</x:v>
      </x:c>
      <x:c r="I85" s="9" t="str">
        <x:v>【精选6折】ANN ANDELMAN黑色条纹设计短半身裙无腰头双层百褶裙</x:v>
      </x:c>
      <x:c r="J85" s="9" t="str">
        <x:v>ANN ANDELMAN</x:v>
      </x:c>
      <x:c r="K85" s="24" t="n">
        <x:v>1319.49</x:v>
      </x:c>
      <x:c r="L85" s="25" t="e">
        <x:f>HYPERLINK("https://item.taobao.com/item.htm?id=899637788055","打开商品")</x:f>
        <x:v>HYPERLINK is not implemented. linkLocation=https://item.taobao.com/item.htm?id=899637788055, friendlyName=打开商品</x:v>
      </x:c>
      <x:c r="M85" s="25" t="e">
        <x:f>HYPERLINK("https://data.zhiyitech.cn/itemDetail/overview/base?itemId=899637788055","打开知衣")</x:f>
        <x:v>HYPERLINK is not implemented. linkLocation=https://data.zhiyitech.cn/itemDetail/overview/base?itemId=899637788055, friendlyName=打开知衣</x:v>
      </x:c>
      <x:c r="N85" s="25" t="e">
        <x:f>HYPERLINK("https://img.alicdn.com/bao/uploaded/i3/2210511483871/O1CN01iI1Hos1eSyJS9KEWM_!!2210511483871.jpg","查看主图")</x:f>
        <x:v>HYPERLINK is not implemented. linkLocation=https://img.alicdn.com/bao/uploaded/i3/2210511483871/O1CN01iI1Hos1eSyJS9KEWM_!!2210511483871.jpg, friendlyName=查看主图</x:v>
      </x:c>
      <x:c r="O85" s="9" t="str">
        <x:v>标题及既有类目语义复核；【精选6折】ANN ANDELMAN黑色条纹设计短半身裙无腰头双层百褶裙；原类目及标题已能确认半身裙；展示使用已知大类，未知裙长下沉到结构字段，不强猜长短。</x:v>
      </x:c>
      <x:c r="P85" s="9" t="str">
        <x:v>普通男女装</x:v>
      </x:c>
      <x:c r="Q85" s="9" t="str">
        <x:v>W_SKIRTS_AVGPAID_1300_1400_ANNUAL2026.xlsx</x:v>
      </x:c>
      <x:c r="R85" s="9" t="str">
        <x:v>默认</x:v>
      </x:c>
      <x:c r="S85" s="9" t="n">
        <x:v>448</x:v>
      </x:c>
      <x:c r="T85" s="9" t="str">
        <x:v>bd4dae1e08e9eca7ddd0669235bf59107cdc418b9c2898fc16f36a7ab5748692</x:v>
      </x:c>
      <x:c r="U85" s="9" t="str">
        <x:v>W_SKIRTS_AVGPAID_1300_1400_ANNUAL2026</x:v>
      </x:c>
      <x:c r="V85" s="9" t="str">
        <x:v>W_SKIRTS_AVGPAID_1300_1400_ANNUAL2026.xlsx / 默认 / 第448行 / SHA256 bd4dae1e08e9eca7ddd0669235bf59107cdc418b9c2898fc16f36a7ab5748692</x:v>
      </x:c>
    </x:row>
    <x:row r="86" ht="58" customHeight="1">
      <x:c r="A86" s="23" t="str">
        <x:v>986323052026</x:v>
      </x:c>
      <x:c r="B86" s="22"/>
      <x:c r="C86" s="22"/>
      <x:c r="D86" s="22"/>
      <x:c r="E86" s="9" t="str">
        <x:v>裙长未明确</x:v>
      </x:c>
      <x:c r="F86" s="9" t="str">
        <x:v>裙装</x:v>
      </x:c>
      <x:c r="G86" s="9" t="str">
        <x:v>半身裙</x:v>
      </x:c>
      <x:c r="H86" s="9" t="str">
        <x:v>女</x:v>
      </x:c>
      <x:c r="I86" s="9" t="str">
        <x:v>ANN ANDELMAN 秋冬新款女士腰带毛呢修身半身裙银泰百货 301286</x:v>
      </x:c>
      <x:c r="J86" s="9" t="str">
        <x:v>ANN ANDELMAN</x:v>
      </x:c>
      <x:c r="K86" s="24" t="n">
        <x:v>1316.39</x:v>
      </x:c>
      <x:c r="L86" s="25" t="e">
        <x:f>HYPERLINK("https://item.taobao.com/item.htm?id=986323052026","打开商品")</x:f>
        <x:v>HYPERLINK is not implemented. linkLocation=https://item.taobao.com/item.htm?id=986323052026, friendlyName=打开商品</x:v>
      </x:c>
      <x:c r="M86" s="25" t="e">
        <x:f>HYPERLINK("https://data.zhiyitech.cn/itemDetail/overview/base?itemId=986323052026","打开知衣")</x:f>
        <x:v>HYPERLINK is not implemented. linkLocation=https://data.zhiyitech.cn/itemDetail/overview/base?itemId=986323052026, friendlyName=打开知衣</x:v>
      </x:c>
      <x:c r="N86" s="25" t="e">
        <x:f>HYPERLINK("https://img.alicdn.com/bao/uploaded/i2/517546721/O1CN01t8HpIsrlHqG2vH2e_!!4611686018427380449-0-item_pic.jpg","查看主图")</x:f>
        <x:v>HYPERLINK is not implemented. linkLocation=https://img.alicdn.com/bao/uploaded/i2/517546721/O1CN01t8HpIsrlHqG2vH2e_!!4611686018427380449-0-item_pic.jpg, friendlyName=查看主图</x:v>
      </x:c>
      <x:c r="O86" s="9" t="str">
        <x:v>标题及既有类目语义复核；ANN ANDELMAN 秋冬新款女士腰带毛呢修身半身裙银泰百货 301286；原类目及标题已能确认半身裙；展示使用已知大类，未知裙长下沉到结构字段，不强猜长短。</x:v>
      </x:c>
      <x:c r="P86" s="9" t="str">
        <x:v>普通男女装</x:v>
      </x:c>
      <x:c r="Q86" s="9" t="str">
        <x:v>W_SKIRTS_AVGPAID_1300_1400_ANNUAL2026.xlsx</x:v>
      </x:c>
      <x:c r="R86" s="9" t="str">
        <x:v>默认</x:v>
      </x:c>
      <x:c r="S86" s="9" t="n">
        <x:v>436</x:v>
      </x:c>
      <x:c r="T86" s="9" t="str">
        <x:v>bd4dae1e08e9eca7ddd0669235bf59107cdc418b9c2898fc16f36a7ab5748692</x:v>
      </x:c>
      <x:c r="U86" s="9" t="str">
        <x:v>W_SKIRTS_AVGPAID_1300_1400_ANNUAL2026</x:v>
      </x:c>
      <x:c r="V86" s="9" t="str">
        <x:v>W_SKIRTS_AVGPAID_1300_1400_ANNUAL2026.xlsx / 默认 / 第436行 / SHA256 bd4dae1e08e9eca7ddd0669235bf59107cdc418b9c2898fc16f36a7ab5748692</x:v>
      </x:c>
    </x:row>
    <x:row r="87" ht="58" customHeight="1">
      <x:c r="A87" s="23" t="str">
        <x:v>1026952923921</x:v>
      </x:c>
      <x:c r="B87" s="22"/>
      <x:c r="C87" s="22"/>
      <x:c r="D87" s="22"/>
      <x:c r="E87" s="9" t="str">
        <x:v>裙长未明确</x:v>
      </x:c>
      <x:c r="F87" s="9" t="str">
        <x:v>裙装</x:v>
      </x:c>
      <x:c r="G87" s="9" t="str">
        <x:v>半身裙</x:v>
      </x:c>
      <x:c r="H87" s="9" t="str">
        <x:v>女</x:v>
      </x:c>
      <x:c r="I87" s="9" t="str">
        <x:v>【呼呼严选专享】艾诺丝雅诗春季新品时尚印花不规则简约百搭碎花</x:v>
      </x:c>
      <x:c r="J87" s="9" t="str">
        <x:v>ARIOSE＆YEARS/艾诺丝雅诗</x:v>
      </x:c>
      <x:c r="K87" s="24" t="n">
        <x:v>1324.21</x:v>
      </x:c>
      <x:c r="L87" s="25" t="e">
        <x:f>HYPERLINK("https://item.taobao.com/item.htm?id=1026952923921","打开商品")</x:f>
        <x:v>HYPERLINK is not implemented. linkLocation=https://item.taobao.com/item.htm?id=1026952923921, friendlyName=打开商品</x:v>
      </x:c>
      <x:c r="M87" s="25" t="e">
        <x:f>HYPERLINK("https://data.zhiyitech.cn/itemDetail/overview/base?itemId=1026952923921","打开知衣")</x:f>
        <x:v>HYPERLINK is not implemented. linkLocation=https://data.zhiyitech.cn/itemDetail/overview/base?itemId=1026952923921, friendlyName=打开知衣</x:v>
      </x:c>
      <x:c r="N87" s="25" t="e">
        <x:f>HYPERLINK("https://img.alicdn.com/bao/uploaded/i4/3080847117/O1CN01hI2fPx22RdvcEmI6U_!!3080847117.jpg","查看主图")</x:f>
        <x:v>HYPERLINK is not implemented. linkLocation=https://img.alicdn.com/bao/uploaded/i4/3080847117/O1CN01hI2fPx22RdvcEmI6U_!!3080847117.jpg, friendlyName=查看主图</x:v>
      </x:c>
      <x:c r="O87" s="9" t="str">
        <x:v>标题及既有类目语义复核；【呼呼严选专享】艾诺丝雅诗春季新品时尚印花不规则简约百搭碎花；原类目及标题已能确认半身裙；展示使用已知大类，未知裙长下沉到结构字段，不强猜长短。</x:v>
      </x:c>
      <x:c r="P87" s="9" t="str">
        <x:v>普通男女装</x:v>
      </x:c>
      <x:c r="Q87" s="9" t="str">
        <x:v>W_SKIRTS_AVGPAID_1300_1400_ANNUAL2026.xlsx</x:v>
      </x:c>
      <x:c r="R87" s="9" t="str">
        <x:v>默认</x:v>
      </x:c>
      <x:c r="S87" s="9" t="n">
        <x:v>269</x:v>
      </x:c>
      <x:c r="T87" s="9" t="str">
        <x:v>bd4dae1e08e9eca7ddd0669235bf59107cdc418b9c2898fc16f36a7ab5748692</x:v>
      </x:c>
      <x:c r="U87" s="9" t="str">
        <x:v>W_SKIRTS_AVGPAID_1300_1400_ANNUAL2026</x:v>
      </x:c>
      <x:c r="V87" s="9" t="str">
        <x:v>W_SKIRTS_AVGPAID_1300_1400_ANNUAL2026.xlsx / 默认 / 第269行 / SHA256 bd4dae1e08e9eca7ddd0669235bf59107cdc418b9c2898fc16f36a7ab5748692</x:v>
      </x:c>
    </x:row>
    <x:row r="88" ht="58" customHeight="1">
      <x:c r="A88" s="23" t="str">
        <x:v>1000937248681</x:v>
      </x:c>
      <x:c r="B88" s="22"/>
      <x:c r="C88" s="22"/>
      <x:c r="D88" s="22"/>
      <x:c r="E88" s="9" t="str">
        <x:v>裙长未明确</x:v>
      </x:c>
      <x:c r="F88" s="9" t="str">
        <x:v>裙装</x:v>
      </x:c>
      <x:c r="G88" s="9" t="str">
        <x:v>半身裙</x:v>
      </x:c>
      <x:c r="H88" s="9" t="str">
        <x:v>女</x:v>
      </x:c>
      <x:c r="I88" s="9" t="str">
        <x:v>宽松显瘦撞色针织条纹半裙</x:v>
      </x:c>
      <x:c r="J88" s="9" t="str">
        <x:v>AUBRUINO</x:v>
      </x:c>
      <x:c r="K88" s="24" t="n">
        <x:v>1588.8</x:v>
      </x:c>
      <x:c r="L88" s="25" t="e">
        <x:f>HYPERLINK("https://item.taobao.com/item.htm?id=1000937248681","打开商品")</x:f>
        <x:v>HYPERLINK is not implemented. linkLocation=https://item.taobao.com/item.htm?id=1000937248681, friendlyName=打开商品</x:v>
      </x:c>
      <x:c r="M88" s="25" t="e">
        <x:f>HYPERLINK("https://data.zhiyitech.cn/itemDetail/overview/base?itemId=1000937248681","打开知衣")</x:f>
        <x:v>HYPERLINK is not implemented. linkLocation=https://data.zhiyitech.cn/itemDetail/overview/base?itemId=1000937248681, friendlyName=打开知衣</x:v>
      </x:c>
      <x:c r="N88" s="25" t="e">
        <x:f>HYPERLINK("https://img.alicdn.com/bao/uploaded/i2/2212508856159/O1CN01SLtmblfcKGF1chua_!!2212508856159.jpg","查看主图")</x:f>
        <x:v>HYPERLINK is not implemented. linkLocation=https://img.alicdn.com/bao/uploaded/i2/2212508856159/O1CN01SLtmblfcKGF1chua_!!2212508856159.jpg, friendlyName=查看主图</x:v>
      </x:c>
      <x:c r="O88" s="9" t="str">
        <x:v>标题及既有类目语义复核；宽松显瘦撞色针织条纹半裙；原类目及标题已能确认半身裙；展示使用已知大类，未知裙长下沉到结构字段，不强猜长短。</x:v>
      </x:c>
      <x:c r="P88" s="9" t="str">
        <x:v>普通男女装</x:v>
      </x:c>
      <x:c r="Q88" s="9" t="str">
        <x:v>W_SKIRTS_AVGPAID_1500_1600_ANNUAL2026.xlsx</x:v>
      </x:c>
      <x:c r="R88" s="9" t="str">
        <x:v>默认</x:v>
      </x:c>
      <x:c r="S88" s="9" t="n">
        <x:v>260</x:v>
      </x:c>
      <x:c r="T88" s="9" t="str">
        <x:v>deede8b56943df4f914be45dba170f12e69064023d6ef0e88dbde1764f6ba23e</x:v>
      </x:c>
      <x:c r="U88" s="9" t="str">
        <x:v>W_SKIRTS_AVGPAID_1500_1600_ANNUAL2026</x:v>
      </x:c>
      <x:c r="V88" s="9" t="str">
        <x:v>W_SKIRTS_AVGPAID_1500_1600_ANNUAL2026.xlsx / 默认 / 第260行 / SHA256 deede8b56943df4f914be45dba170f12e69064023d6ef0e88dbde1764f6ba23e</x:v>
      </x:c>
    </x:row>
    <x:row r="89" ht="58" customHeight="1">
      <x:c r="A89" s="23" t="str">
        <x:v>1037766463036</x:v>
      </x:c>
      <x:c r="B89" s="22"/>
      <x:c r="C89" s="22"/>
      <x:c r="D89" s="22"/>
      <x:c r="E89" s="9" t="str">
        <x:v>裙长未明确</x:v>
      </x:c>
      <x:c r="F89" s="9" t="str">
        <x:v>裙装</x:v>
      </x:c>
      <x:c r="G89" s="9" t="str">
        <x:v>半身裙</x:v>
      </x:c>
      <x:c r="H89" s="9" t="str">
        <x:v>女</x:v>
      </x:c>
      <x:c r="I89" s="9" t="str">
        <x:v>AUBRUINO拼接图案印花抽绳半身裙</x:v>
      </x:c>
      <x:c r="J89" s="9" t="str">
        <x:v>AUBRUINO</x:v>
      </x:c>
      <x:c r="K89" s="24" t="n">
        <x:v>1327.71</x:v>
      </x:c>
      <x:c r="L89" s="25" t="e">
        <x:f>HYPERLINK("https://item.taobao.com/item.htm?id=1037766463036","打开商品")</x:f>
        <x:v>HYPERLINK is not implemented. linkLocation=https://item.taobao.com/item.htm?id=1037766463036, friendlyName=打开商品</x:v>
      </x:c>
      <x:c r="M89" s="25" t="e">
        <x:f>HYPERLINK("https://data.zhiyitech.cn/itemDetail/overview/base?itemId=1037766463036","打开知衣")</x:f>
        <x:v>HYPERLINK is not implemented. linkLocation=https://data.zhiyitech.cn/itemDetail/overview/base?itemId=1037766463036, friendlyName=打开知衣</x:v>
      </x:c>
      <x:c r="N89" s="25" t="e">
        <x:f>HYPERLINK("https://img.alicdn.com/bao/uploaded/i2/408775579/O1CN01a8aL8h1r5EmtqGkrr_!!408775579.jpg","查看主图")</x:f>
        <x:v>HYPERLINK is not implemented. linkLocation=https://img.alicdn.com/bao/uploaded/i2/408775579/O1CN01a8aL8h1r5EmtqGkrr_!!408775579.jpg, friendlyName=查看主图</x:v>
      </x:c>
      <x:c r="O89" s="9" t="str">
        <x:v>标题及既有类目语义复核；AUBRUINO拼接图案印花抽绳半身裙；原类目及标题已能确认半身裙；展示使用已知大类，未知裙长下沉到结构字段，不强猜长短。</x:v>
      </x:c>
      <x:c r="P89" s="9" t="str">
        <x:v>普通男女装</x:v>
      </x:c>
      <x:c r="Q89" s="9" t="str">
        <x:v>W_SKIRTS_AVGPAID_1300_1400_ANNUAL2026.xlsx</x:v>
      </x:c>
      <x:c r="R89" s="9" t="str">
        <x:v>默认</x:v>
      </x:c>
      <x:c r="S89" s="9" t="n">
        <x:v>286</x:v>
      </x:c>
      <x:c r="T89" s="9" t="str">
        <x:v>bd4dae1e08e9eca7ddd0669235bf59107cdc418b9c2898fc16f36a7ab5748692</x:v>
      </x:c>
      <x:c r="U89" s="9" t="str">
        <x:v>W_SKIRTS_AVGPAID_1300_1400_ANNUAL2026</x:v>
      </x:c>
      <x:c r="V89" s="9" t="str">
        <x:v>W_SKIRTS_AVGPAID_1300_1400_ANNUAL2026.xlsx / 默认 / 第286行 / SHA256 bd4dae1e08e9eca7ddd0669235bf59107cdc418b9c2898fc16f36a7ab5748692</x:v>
      </x:c>
    </x:row>
    <x:row r="90" ht="58" customHeight="1">
      <x:c r="A90" s="23" t="str">
        <x:v>1038131399847</x:v>
      </x:c>
      <x:c r="B90" s="22"/>
      <x:c r="C90" s="22"/>
      <x:c r="D90" s="22"/>
      <x:c r="E90" s="9" t="str">
        <x:v>裙长未明确</x:v>
      </x:c>
      <x:c r="F90" s="9" t="str">
        <x:v>裙装</x:v>
      </x:c>
      <x:c r="G90" s="9" t="str">
        <x:v>半身裙</x:v>
      </x:c>
      <x:c r="H90" s="9" t="str">
        <x:v>女</x:v>
      </x:c>
      <x:c r="I90" s="9" t="str">
        <x:v>AUBRUINO原创设计2026夏季新款复古文艺撞色拼接图案抽绳半身裙女</x:v>
      </x:c>
      <x:c r="J90" s="9" t="str">
        <x:v>AUBRUINO</x:v>
      </x:c>
      <x:c r="K90" s="24" t="n">
        <x:v>1390.79</x:v>
      </x:c>
      <x:c r="L90" s="25" t="e">
        <x:f>HYPERLINK("https://item.taobao.com/item.htm?id=1038131399847","打开商品")</x:f>
        <x:v>HYPERLINK is not implemented. linkLocation=https://item.taobao.com/item.htm?id=1038131399847, friendlyName=打开商品</x:v>
      </x:c>
      <x:c r="M90" s="25" t="e">
        <x:f>HYPERLINK("https://data.zhiyitech.cn/itemDetail/overview/base?itemId=1038131399847","打开知衣")</x:f>
        <x:v>HYPERLINK is not implemented. linkLocation=https://data.zhiyitech.cn/itemDetail/overview/base?itemId=1038131399847, friendlyName=打开知衣</x:v>
      </x:c>
      <x:c r="N90" s="25" t="e">
        <x:f>HYPERLINK("https://img.alicdn.com/bao/uploaded/i2/2212508856159/O1CN012i4F0V1vMsWbQYfZV_!!2212508856159.jpg","查看主图")</x:f>
        <x:v>HYPERLINK is not implemented. linkLocation=https://img.alicdn.com/bao/uploaded/i2/2212508856159/O1CN012i4F0V1vMsWbQYfZV_!!2212508856159.jpg, friendlyName=查看主图</x:v>
      </x:c>
      <x:c r="O90" s="9" t="str">
        <x:v>标题及既有类目语义复核；AUBRUINO原创设计2026夏季新款复古文艺撞色拼接图案抽绳半身裙女；原类目及标题已能确认半身裙；展示使用已知大类，未知裙长下沉到结构字段，不强猜长短。</x:v>
      </x:c>
      <x:c r="P90" s="9" t="str">
        <x:v>普通男女装</x:v>
      </x:c>
      <x:c r="Q90" s="9" t="str">
        <x:v>W_SKIRTS_AVGPAID_1300_1400_ANNUAL2026.xlsx</x:v>
      </x:c>
      <x:c r="R90" s="9" t="str">
        <x:v>默认</x:v>
      </x:c>
      <x:c r="S90" s="9" t="n">
        <x:v>455</x:v>
      </x:c>
      <x:c r="T90" s="9" t="str">
        <x:v>bd4dae1e08e9eca7ddd0669235bf59107cdc418b9c2898fc16f36a7ab5748692</x:v>
      </x:c>
      <x:c r="U90" s="9" t="str">
        <x:v>W_SKIRTS_AVGPAID_1300_1400_ANNUAL2026</x:v>
      </x:c>
      <x:c r="V90" s="9" t="str">
        <x:v>W_SKIRTS_AVGPAID_1300_1400_ANNUAL2026.xlsx / 默认 / 第455行 / SHA256 bd4dae1e08e9eca7ddd0669235bf59107cdc418b9c2898fc16f36a7ab5748692</x:v>
      </x:c>
    </x:row>
    <x:row r="91" ht="58" customHeight="1">
      <x:c r="A91" s="23" t="str">
        <x:v>1060497306518</x:v>
      </x:c>
      <x:c r="B91" s="22"/>
      <x:c r="C91" s="22"/>
      <x:c r="D91" s="22"/>
      <x:c r="E91" s="9" t="str">
        <x:v>裙长未明确</x:v>
      </x:c>
      <x:c r="F91" s="9" t="str">
        <x:v>裙装</x:v>
      </x:c>
      <x:c r="G91" s="9" t="str">
        <x:v>半身裙</x:v>
      </x:c>
      <x:c r="H91" s="9" t="str">
        <x:v>女</x:v>
      </x:c>
      <x:c r="I91" s="9" t="str">
        <x:v>AUBRUINO原创设计2026秋季新款碎花抽绳裙可调节文艺简约半身裙女</x:v>
      </x:c>
      <x:c r="J91" s="9" t="str">
        <x:v>AUBRUINO</x:v>
      </x:c>
      <x:c r="K91" s="24" t="n">
        <x:v>1524.32</x:v>
      </x:c>
      <x:c r="L91" s="25" t="e">
        <x:f>HYPERLINK("https://item.taobao.com/item.htm?id=1060497306518","打开商品")</x:f>
        <x:v>HYPERLINK is not implemented. linkLocation=https://item.taobao.com/item.htm?id=1060497306518, friendlyName=打开商品</x:v>
      </x:c>
      <x:c r="M91" s="25" t="e">
        <x:f>HYPERLINK("https://data.zhiyitech.cn/itemDetail/overview/base?itemId=1060497306518","打开知衣")</x:f>
        <x:v>HYPERLINK is not implemented. linkLocation=https://data.zhiyitech.cn/itemDetail/overview/base?itemId=1060497306518, friendlyName=打开知衣</x:v>
      </x:c>
      <x:c r="N91" s="25" t="e">
        <x:f>HYPERLINK("https://img.alicdn.com/bao/uploaded/i4/2212508856159/O1CN01gwIRpLSbyNB1chua_!!2212508856159.jpg","查看主图")</x:f>
        <x:v>HYPERLINK is not implemented. linkLocation=https://img.alicdn.com/bao/uploaded/i4/2212508856159/O1CN01gwIRpLSbyNB1chua_!!2212508856159.jpg, friendlyName=查看主图</x:v>
      </x:c>
      <x:c r="O91" s="9" t="str">
        <x:v>标题及既有类目语义复核；AUBRUINO原创设计2026秋季新款碎花抽绳裙可调节文艺简约半身裙女；原类目及标题已能确认半身裙；展示使用已知大类，未知裙长下沉到结构字段，不强猜长短。</x:v>
      </x:c>
      <x:c r="P91" s="9" t="str">
        <x:v>普通男女装</x:v>
      </x:c>
      <x:c r="Q91" s="9" t="str">
        <x:v>W_SKIRTS_AVGPAID_1500_1600_ANNUAL2026.xlsx</x:v>
      </x:c>
      <x:c r="R91" s="9" t="str">
        <x:v>默认</x:v>
      </x:c>
      <x:c r="S91" s="9" t="n">
        <x:v>453</x:v>
      </x:c>
      <x:c r="T91" s="9" t="str">
        <x:v>deede8b56943df4f914be45dba170f12e69064023d6ef0e88dbde1764f6ba23e</x:v>
      </x:c>
      <x:c r="U91" s="9" t="str">
        <x:v>W_SKIRTS_AVGPAID_1500_1600_ANNUAL2026</x:v>
      </x:c>
      <x:c r="V91" s="9" t="str">
        <x:v>W_SKIRTS_AVGPAID_1500_1600_ANNUAL2026.xlsx / 默认 / 第453行 / SHA256 deede8b56943df4f914be45dba170f12e69064023d6ef0e88dbde1764f6ba23e</x:v>
      </x:c>
    </x:row>
    <x:row r="92" ht="58" customHeight="1">
      <x:c r="A92" s="23" t="str">
        <x:v>1016897838336</x:v>
      </x:c>
      <x:c r="B92" s="22"/>
      <x:c r="C92" s="22"/>
      <x:c r="D92" s="22"/>
      <x:c r="E92" s="9" t="str">
        <x:v>裙长未明确</x:v>
      </x:c>
      <x:c r="F92" s="9" t="str">
        <x:v>裙装</x:v>
      </x:c>
      <x:c r="G92" s="9" t="str">
        <x:v>半身裙</x:v>
      </x:c>
      <x:c r="H92" s="9" t="str">
        <x:v>女</x:v>
      </x:c>
      <x:c r="I92" s="9" t="str">
        <x:v>【商场同款】AUM噢姆2026年夏季新款葡萄牙进口弹力府绸花苞半裙</x:v>
      </x:c>
      <x:c r="J92" s="9" t="str">
        <x:v>AUM</x:v>
      </x:c>
      <x:c r="K92" s="24" t="n">
        <x:v>1727.22</x:v>
      </x:c>
      <x:c r="L92" s="25" t="e">
        <x:f>HYPERLINK("https://item.taobao.com/item.htm?id=1016897838336","打开商品")</x:f>
        <x:v>HYPERLINK is not implemented. linkLocation=https://item.taobao.com/item.htm?id=1016897838336, friendlyName=打开商品</x:v>
      </x:c>
      <x:c r="M92" s="25" t="e">
        <x:f>HYPERLINK("https://data.zhiyitech.cn/itemDetail/overview/base?itemId=1016897838336","打开知衣")</x:f>
        <x:v>HYPERLINK is not implemented. linkLocation=https://data.zhiyitech.cn/itemDetail/overview/base?itemId=1016897838336, friendlyName=打开知衣</x:v>
      </x:c>
      <x:c r="N92" s="25" t="e">
        <x:f>HYPERLINK("https://img.alicdn.com/bao/uploaded/i1/2129223073/O1CN01Db6n2OW0mFE1chua_!!2129223073.jpg","查看主图")</x:f>
        <x:v>HYPERLINK is not implemented. linkLocation=https://img.alicdn.com/bao/uploaded/i1/2129223073/O1CN01Db6n2OW0mFE1chua_!!2129223073.jpg, friendlyName=查看主图</x:v>
      </x:c>
      <x:c r="O92" s="9" t="str">
        <x:v>标题及既有类目语义复核；【商场同款】AUM噢姆2026年夏季新款葡萄牙进口弹力府绸花苞半裙；原类目及标题已能确认半身裙；展示使用已知大类，未知裙长下沉到结构字段，不强猜长短。</x:v>
      </x:c>
      <x:c r="P92" s="9" t="str">
        <x:v>普通男女装</x:v>
      </x:c>
      <x:c r="Q92" s="9" t="str">
        <x:v>W_SKIRTS_AVGPAID_1700_1800_ANNUAL2026.xlsx</x:v>
      </x:c>
      <x:c r="R92" s="9" t="str">
        <x:v>默认</x:v>
      </x:c>
      <x:c r="S92" s="9" t="n">
        <x:v>43</x:v>
      </x:c>
      <x:c r="T92" s="9" t="str">
        <x:v>c25ed77c53c7c5cfcf728778a0e9b297d8689503f62756a939cbd534ca9b587a</x:v>
      </x:c>
      <x:c r="U92" s="9" t="str">
        <x:v>W_SKIRTS_AVGPAID_1700_1800_ANNUAL2026</x:v>
      </x:c>
      <x:c r="V92" s="9" t="str">
        <x:v>W_SKIRTS_AVGPAID_1700_1800_ANNUAL2026.xlsx / 默认 / 第43行 / SHA256 c25ed77c53c7c5cfcf728778a0e9b297d8689503f62756a939cbd534ca9b587a</x:v>
      </x:c>
    </x:row>
    <x:row r="93" ht="58" customHeight="1">
      <x:c r="A93" s="23" t="str">
        <x:v>1017073733250</x:v>
      </x:c>
      <x:c r="B93" s="22"/>
      <x:c r="C93" s="22"/>
      <x:c r="D93" s="22"/>
      <x:c r="E93" s="9" t="str">
        <x:v>裙长未明确</x:v>
      </x:c>
      <x:c r="F93" s="9" t="str">
        <x:v>裙装</x:v>
      </x:c>
      <x:c r="G93" s="9" t="str">
        <x:v>半身裙</x:v>
      </x:c>
      <x:c r="H93" s="9" t="str">
        <x:v>女</x:v>
      </x:c>
      <x:c r="I93" s="9" t="str">
        <x:v>【商场同款】AUM噢姆2026年夏季新款丝毛弹力抽绳黑色直筒半身裙</x:v>
      </x:c>
      <x:c r="J93" s="9" t="str">
        <x:v>AUM</x:v>
      </x:c>
      <x:c r="K93" s="24" t="n">
        <x:v>1709.61</x:v>
      </x:c>
      <x:c r="L93" s="25" t="e">
        <x:f>HYPERLINK("https://item.taobao.com/item.htm?id=1017073733250","打开商品")</x:f>
        <x:v>HYPERLINK is not implemented. linkLocation=https://item.taobao.com/item.htm?id=1017073733250, friendlyName=打开商品</x:v>
      </x:c>
      <x:c r="M93" s="25" t="e">
        <x:f>HYPERLINK("https://data.zhiyitech.cn/itemDetail/overview/base?itemId=1017073733250","打开知衣")</x:f>
        <x:v>HYPERLINK is not implemented. linkLocation=https://data.zhiyitech.cn/itemDetail/overview/base?itemId=1017073733250, friendlyName=打开知衣</x:v>
      </x:c>
      <x:c r="N93" s="25" t="e">
        <x:f>HYPERLINK("https://img.alicdn.com/bao/uploaded/i1/2129223073/O1CN01X71F25CublD1chua_!!2129223073.jpg","查看主图")</x:f>
        <x:v>HYPERLINK is not implemented. linkLocation=https://img.alicdn.com/bao/uploaded/i1/2129223073/O1CN01X71F25CublD1chua_!!2129223073.jpg, friendlyName=查看主图</x:v>
      </x:c>
      <x:c r="O93" s="9" t="str">
        <x:v>标题及既有类目语义复核；【商场同款】AUM噢姆2026年夏季新款丝毛弹力抽绳黑色直筒半身裙；原类目及标题已能确认半身裙；展示使用已知大类，未知裙长下沉到结构字段，不强猜长短。</x:v>
      </x:c>
      <x:c r="P93" s="9" t="str">
        <x:v>普通男女装</x:v>
      </x:c>
      <x:c r="Q93" s="9" t="str">
        <x:v>W_SKIRTS_AVGPAID_1700_1800_ANNUAL2026.xlsx</x:v>
      </x:c>
      <x:c r="R93" s="9" t="str">
        <x:v>默认</x:v>
      </x:c>
      <x:c r="S93" s="9" t="n">
        <x:v>219</x:v>
      </x:c>
      <x:c r="T93" s="9" t="str">
        <x:v>c25ed77c53c7c5cfcf728778a0e9b297d8689503f62756a939cbd534ca9b587a</x:v>
      </x:c>
      <x:c r="U93" s="9" t="str">
        <x:v>W_SKIRTS_AVGPAID_1700_1800_ANNUAL2026</x:v>
      </x:c>
      <x:c r="V93" s="9" t="str">
        <x:v>W_SKIRTS_AVGPAID_1700_1800_ANNUAL2026.xlsx / 默认 / 第219行 / SHA256 c25ed77c53c7c5cfcf728778a0e9b297d8689503f62756a939cbd534ca9b587a</x:v>
      </x:c>
    </x:row>
    <x:row r="94" ht="58" customHeight="1">
      <x:c r="A94" s="23" t="str">
        <x:v>1058707865228</x:v>
      </x:c>
      <x:c r="B94" s="22"/>
      <x:c r="C94" s="22"/>
      <x:c r="D94" s="22"/>
      <x:c r="E94" s="9" t="str">
        <x:v>裙长未明确</x:v>
      </x:c>
      <x:c r="F94" s="9" t="str">
        <x:v>裙装</x:v>
      </x:c>
      <x:c r="G94" s="9" t="str">
        <x:v>半身裙</x:v>
      </x:c>
      <x:c r="H94" s="9" t="str">
        <x:v>女</x:v>
      </x:c>
      <x:c r="I94" s="9" t="str">
        <x:v>【商场同款】AUM噢姆2026年秋季新款立体廓形感通勤花苞半身裙女</x:v>
      </x:c>
      <x:c r="J94" s="9" t="str">
        <x:v>AUM</x:v>
      </x:c>
      <x:c r="K94" s="24" t="n">
        <x:v>1723.93</x:v>
      </x:c>
      <x:c r="L94" s="25" t="e">
        <x:f>HYPERLINK("https://item.taobao.com/item.htm?id=1058707865228","打开商品")</x:f>
        <x:v>HYPERLINK is not implemented. linkLocation=https://item.taobao.com/item.htm?id=1058707865228, friendlyName=打开商品</x:v>
      </x:c>
      <x:c r="M94" s="25" t="e">
        <x:f>HYPERLINK("https://data.zhiyitech.cn/itemDetail/overview/base?itemId=1058707865228","打开知衣")</x:f>
        <x:v>HYPERLINK is not implemented. linkLocation=https://data.zhiyitech.cn/itemDetail/overview/base?itemId=1058707865228, friendlyName=打开知衣</x:v>
      </x:c>
      <x:c r="N94" s="25" t="e">
        <x:f>HYPERLINK("https://img.alicdn.com/bao/uploaded/i1/2129223073/O1CN01gsrdd41YZUGDsz3Nh_!!4611686018427387297-0-item_pic.jpg","查看主图")</x:f>
        <x:v>HYPERLINK is not implemented. linkLocation=https://img.alicdn.com/bao/uploaded/i1/2129223073/O1CN01gsrdd41YZUGDsz3Nh_!!4611686018427387297-0-item_pic.jpg, friendlyName=查看主图</x:v>
      </x:c>
      <x:c r="O94" s="9" t="str">
        <x:v>标题及既有类目语义复核；【商场同款】AUM噢姆2026年秋季新款立体廓形感通勤花苞半身裙女；原类目及标题已能确认半身裙；展示使用已知大类，未知裙长下沉到结构字段，不强猜长短。</x:v>
      </x:c>
      <x:c r="P94" s="9" t="str">
        <x:v>普通男女装</x:v>
      </x:c>
      <x:c r="Q94" s="9" t="str">
        <x:v>W_SKIRTS_AVGPAID_1700_1800_ANNUAL2026.xlsx</x:v>
      </x:c>
      <x:c r="R94" s="9" t="str">
        <x:v>默认</x:v>
      </x:c>
      <x:c r="S94" s="9" t="n">
        <x:v>435</x:v>
      </x:c>
      <x:c r="T94" s="9" t="str">
        <x:v>c25ed77c53c7c5cfcf728778a0e9b297d8689503f62756a939cbd534ca9b587a</x:v>
      </x:c>
      <x:c r="U94" s="9" t="str">
        <x:v>W_SKIRTS_AVGPAID_1700_1800_ANNUAL2026</x:v>
      </x:c>
      <x:c r="V94" s="9" t="str">
        <x:v>W_SKIRTS_AVGPAID_1700_1800_ANNUAL2026.xlsx / 默认 / 第435行 / SHA256 c25ed77c53c7c5cfcf728778a0e9b297d8689503f62756a939cbd534ca9b587a</x:v>
      </x:c>
    </x:row>
    <x:row r="95" ht="58" customHeight="1">
      <x:c r="A95" s="23" t="str">
        <x:v>910626806202</x:v>
      </x:c>
      <x:c r="B95" s="22"/>
      <x:c r="C95" s="22"/>
      <x:c r="D95" s="22"/>
      <x:c r="E95" s="9" t="str">
        <x:v>裙长未明确</x:v>
      </x:c>
      <x:c r="F95" s="9" t="str">
        <x:v>裙装</x:v>
      </x:c>
      <x:c r="G95" s="9" t="str">
        <x:v>半身裙</x:v>
      </x:c>
      <x:c r="H95" s="9" t="str">
        <x:v>女</x:v>
      </x:c>
      <x:c r="I95" s="9" t="str">
        <x:v>【预售】AUM噢姆夏季桑蚕丝撞色腰头枝蔓印花半裙</x:v>
      </x:c>
      <x:c r="J95" s="9" t="str">
        <x:v>AUM</x:v>
      </x:c>
      <x:c r="K95" s="24" t="n">
        <x:v>1344.42</x:v>
      </x:c>
      <x:c r="L95" s="25" t="e">
        <x:f>HYPERLINK("https://item.taobao.com/item.htm?id=910626806202","打开商品")</x:f>
        <x:v>HYPERLINK is not implemented. linkLocation=https://item.taobao.com/item.htm?id=910626806202, friendlyName=打开商品</x:v>
      </x:c>
      <x:c r="M95" s="25" t="e">
        <x:f>HYPERLINK("https://data.zhiyitech.cn/itemDetail/overview/base?itemId=910626806202","打开知衣")</x:f>
        <x:v>HYPERLINK is not implemented. linkLocation=https://data.zhiyitech.cn/itemDetail/overview/base?itemId=910626806202, friendlyName=打开知衣</x:v>
      </x:c>
      <x:c r="N95" s="25" t="e">
        <x:f>HYPERLINK("https://img.alicdn.com/bao/uploaded/i1/2129223073/O1CN016RU7Rc1YZUALnWNmJ_!!4611686018427387297-0-item_pic.jpg","查看主图")</x:f>
        <x:v>HYPERLINK is not implemented. linkLocation=https://img.alicdn.com/bao/uploaded/i1/2129223073/O1CN016RU7Rc1YZUALnWNmJ_!!4611686018427387297-0-item_pic.jpg, friendlyName=查看主图</x:v>
      </x:c>
      <x:c r="O95" s="9" t="str">
        <x:v>标题及既有类目语义复核；【预售】AUM噢姆夏季桑蚕丝撞色腰头枝蔓印花半裙；原类目及标题已能确认半身裙；展示使用已知大类，未知裙长下沉到结构字段，不强猜长短。</x:v>
      </x:c>
      <x:c r="P95" s="9" t="str">
        <x:v>普通男女装</x:v>
      </x:c>
      <x:c r="Q95" s="9" t="str">
        <x:v>W_SKIRTS_AVGPAID_1300_1400_ANNUAL2026.xlsx</x:v>
      </x:c>
      <x:c r="R95" s="9" t="str">
        <x:v>默认</x:v>
      </x:c>
      <x:c r="S95" s="9" t="n">
        <x:v>373</x:v>
      </x:c>
      <x:c r="T95" s="9" t="str">
        <x:v>bd4dae1e08e9eca7ddd0669235bf59107cdc418b9c2898fc16f36a7ab5748692</x:v>
      </x:c>
      <x:c r="U95" s="9" t="str">
        <x:v>W_SKIRTS_AVGPAID_1300_1400_ANNUAL2026</x:v>
      </x:c>
      <x:c r="V95" s="9" t="str">
        <x:v>W_SKIRTS_AVGPAID_1300_1400_ANNUAL2026.xlsx / 默认 / 第373行 / SHA256 bd4dae1e08e9eca7ddd0669235bf59107cdc418b9c2898fc16f36a7ab5748692</x:v>
      </x:c>
    </x:row>
    <x:row r="96" ht="58" customHeight="1">
      <x:c r="A96" s="23" t="str">
        <x:v>1034731218730</x:v>
      </x:c>
      <x:c r="B96" s="22"/>
      <x:c r="C96" s="22"/>
      <x:c r="D96" s="22"/>
      <x:c r="E96" s="9" t="str">
        <x:v>裙长未明确</x:v>
      </x:c>
      <x:c r="F96" s="9" t="str">
        <x:v>裙装</x:v>
      </x:c>
      <x:c r="G96" s="9" t="str">
        <x:v>半身裙</x:v>
      </x:c>
      <x:c r="H96" s="9" t="str">
        <x:v>女</x:v>
      </x:c>
      <x:c r="I96" s="9" t="str">
        <x:v>AUM噢姆夏季棕色斜纹碎褶A字不规则分割休闲半身裙女</x:v>
      </x:c>
      <x:c r="J96" s="9" t="str">
        <x:v>AUM/噢姆</x:v>
      </x:c>
      <x:c r="K96" s="24" t="n">
        <x:v>1583.97</x:v>
      </x:c>
      <x:c r="L96" s="25" t="e">
        <x:f>HYPERLINK("https://item.taobao.com/item.htm?id=1034731218730","打开商品")</x:f>
        <x:v>HYPERLINK is not implemented. linkLocation=https://item.taobao.com/item.htm?id=1034731218730, friendlyName=打开商品</x:v>
      </x:c>
      <x:c r="M96" s="25" t="e">
        <x:f>HYPERLINK("https://data.zhiyitech.cn/itemDetail/overview/base?itemId=1034731218730","打开知衣")</x:f>
        <x:v>HYPERLINK is not implemented. linkLocation=https://data.zhiyitech.cn/itemDetail/overview/base?itemId=1034731218730, friendlyName=打开知衣</x:v>
      </x:c>
      <x:c r="N96" s="25" t="e">
        <x:f>HYPERLINK("https://img.alicdn.com/bao/uploaded/i2/2213224881649/O1CN015BdSzd1O3IF3oBK17_!!4611686018427387377-0-item_pic.jpg","查看主图")</x:f>
        <x:v>HYPERLINK is not implemented. linkLocation=https://img.alicdn.com/bao/uploaded/i2/2213224881649/O1CN015BdSzd1O3IF3oBK17_!!4611686018427387377-0-item_pic.jpg, friendlyName=查看主图</x:v>
      </x:c>
      <x:c r="O96" s="9" t="str">
        <x:v>标题及既有类目语义复核；AUM噢姆夏季棕色斜纹碎褶A字不规则分割休闲半身裙女；原类目及标题已能确认半身裙；展示使用已知大类，未知裙长下沉到结构字段，不强猜长短。</x:v>
      </x:c>
      <x:c r="P96" s="9" t="str">
        <x:v>普通男女装</x:v>
      </x:c>
      <x:c r="Q96" s="9" t="str">
        <x:v>W_SKIRTS_AVGPAID_1500_1600_ANNUAL2026.xlsx</x:v>
      </x:c>
      <x:c r="R96" s="9" t="str">
        <x:v>默认</x:v>
      </x:c>
      <x:c r="S96" s="9" t="n">
        <x:v>386</x:v>
      </x:c>
      <x:c r="T96" s="9" t="str">
        <x:v>deede8b56943df4f914be45dba170f12e69064023d6ef0e88dbde1764f6ba23e</x:v>
      </x:c>
      <x:c r="U96" s="9" t="str">
        <x:v>W_SKIRTS_AVGPAID_1500_1600_ANNUAL2026</x:v>
      </x:c>
      <x:c r="V96" s="9" t="str">
        <x:v>W_SKIRTS_AVGPAID_1500_1600_ANNUAL2026.xlsx / 默认 / 第386行 / SHA256 deede8b56943df4f914be45dba170f12e69064023d6ef0e88dbde1764f6ba23e</x:v>
      </x:c>
    </x:row>
    <x:row r="97" ht="58" customHeight="1">
      <x:c r="A97" s="23" t="str">
        <x:v>986148814728</x:v>
      </x:c>
      <x:c r="B97" s="22"/>
      <x:c r="C97" s="22"/>
      <x:c r="D97" s="22"/>
      <x:c r="E97" s="9" t="str">
        <x:v>裙长未明确</x:v>
      </x:c>
      <x:c r="F97" s="9" t="str">
        <x:v>裙装</x:v>
      </x:c>
      <x:c r="G97" s="9" t="str">
        <x:v>半身裙</x:v>
      </x:c>
      <x:c r="H97" s="9" t="str">
        <x:v>女</x:v>
      </x:c>
      <x:c r="I97" s="9" t="str">
        <x:v>AVVENN配腰带拼接蕾丝露花边皮质感半身裙时髦随性感AL91503783</x:v>
      </x:c>
      <x:c r="J97" s="9" t="str">
        <x:v>AVVENN</x:v>
      </x:c>
      <x:c r="K97" s="24" t="n">
        <x:v>1542.02</x:v>
      </x:c>
      <x:c r="L97" s="25" t="e">
        <x:f>HYPERLINK("https://item.taobao.com/item.htm?id=986148814728","打开商品")</x:f>
        <x:v>HYPERLINK is not implemented. linkLocation=https://item.taobao.com/item.htm?id=986148814728, friendlyName=打开商品</x:v>
      </x:c>
      <x:c r="M97" s="25" t="e">
        <x:f>HYPERLINK("https://data.zhiyitech.cn/itemDetail/overview/base?itemId=986148814728","打开知衣")</x:f>
        <x:v>HYPERLINK is not implemented. linkLocation=https://data.zhiyitech.cn/itemDetail/overview/base?itemId=986148814728, friendlyName=打开知衣</x:v>
      </x:c>
      <x:c r="N97" s="25" t="e">
        <x:f>HYPERLINK("https://img.alicdn.com/bao/uploaded/i3/2216782294762/O1CN016qsCDQNYNqG2vH2e_!!2216782294762.jpg","查看主图")</x:f>
        <x:v>HYPERLINK is not implemented. linkLocation=https://img.alicdn.com/bao/uploaded/i3/2216782294762/O1CN016qsCDQNYNqG2vH2e_!!2216782294762.jpg, friendlyName=查看主图</x:v>
      </x:c>
      <x:c r="O97" s="9" t="str">
        <x:v>标题及既有类目语义复核；AVVENN配腰带拼接蕾丝露花边皮质感半身裙时髦随性感AL91503783；原类目及标题已能确认半身裙；展示使用已知大类，未知裙长下沉到结构字段，不强猜长短。</x:v>
      </x:c>
      <x:c r="P97" s="9" t="str">
        <x:v>普通男女装</x:v>
      </x:c>
      <x:c r="Q97" s="9" t="str">
        <x:v>W_SKIRTS_AVGPAID_1500_1600_ANNUAL2026.xlsx</x:v>
      </x:c>
      <x:c r="R97" s="9" t="str">
        <x:v>默认</x:v>
      </x:c>
      <x:c r="S97" s="9" t="n">
        <x:v>452</x:v>
      </x:c>
      <x:c r="T97" s="9" t="str">
        <x:v>deede8b56943df4f914be45dba170f12e69064023d6ef0e88dbde1764f6ba23e</x:v>
      </x:c>
      <x:c r="U97" s="9" t="str">
        <x:v>W_SKIRTS_AVGPAID_1500_1600_ANNUAL2026</x:v>
      </x:c>
      <x:c r="V97" s="9" t="str">
        <x:v>W_SKIRTS_AVGPAID_1500_1600_ANNUAL2026.xlsx / 默认 / 第452行 / SHA256 deede8b56943df4f914be45dba170f12e69064023d6ef0e88dbde1764f6ba23e</x:v>
      </x:c>
    </x:row>
    <x:row r="98" ht="58" customHeight="1">
      <x:c r="A98" s="23" t="str">
        <x:v>958624685849</x:v>
      </x:c>
      <x:c r="B98" s="22"/>
      <x:c r="C98" s="22"/>
      <x:c r="D98" s="22"/>
      <x:c r="E98" s="9" t="str">
        <x:v>裙长未明确</x:v>
      </x:c>
      <x:c r="F98" s="9" t="str">
        <x:v>裙装</x:v>
      </x:c>
      <x:c r="G98" s="9" t="str">
        <x:v>半身裙</x:v>
      </x:c>
      <x:c r="H98" s="9" t="str">
        <x:v>女</x:v>
      </x:c>
      <x:c r="I98" s="9" t="str">
        <x:v>AW PROJECT缎面光泽感不规则褶皱松紧腰直筒半身裙AW353079</x:v>
      </x:c>
      <x:c r="J98" s="9" t="str">
        <x:v>AW PROJECT</x:v>
      </x:c>
      <x:c r="K98" s="24" t="n">
        <x:v>1754</x:v>
      </x:c>
      <x:c r="L98" s="25" t="e">
        <x:f>HYPERLINK("https://item.taobao.com/item.htm?id=958624685849","打开商品")</x:f>
        <x:v>HYPERLINK is not implemented. linkLocation=https://item.taobao.com/item.htm?id=958624685849, friendlyName=打开商品</x:v>
      </x:c>
      <x:c r="M98" s="25" t="e">
        <x:f>HYPERLINK("https://data.zhiyitech.cn/itemDetail/overview/base?itemId=958624685849","打开知衣")</x:f>
        <x:v>HYPERLINK is not implemented. linkLocation=https://data.zhiyitech.cn/itemDetail/overview/base?itemId=958624685849, friendlyName=打开知衣</x:v>
      </x:c>
      <x:c r="N98" s="25" t="e">
        <x:f>HYPERLINK("https://img.alicdn.com/bao/uploaded/i1/2219014241875/O1CN01Z0sjXEz7xEK2vH2e_!!2219014241875.jpg","查看主图")</x:f>
        <x:v>HYPERLINK is not implemented. linkLocation=https://img.alicdn.com/bao/uploaded/i1/2219014241875/O1CN01Z0sjXEz7xEK2vH2e_!!2219014241875.jpg, friendlyName=查看主图</x:v>
      </x:c>
      <x:c r="O98" s="9" t="str">
        <x:v>标题及既有类目语义复核；AW PROJECT缎面光泽感不规则褶皱松紧腰直筒半身裙AW353079；原类目及标题已能确认半身裙；展示使用已知大类，未知裙长下沉到结构字段，不强猜长短。</x:v>
      </x:c>
      <x:c r="P98" s="9" t="str">
        <x:v>普通男女装</x:v>
      </x:c>
      <x:c r="Q98" s="9" t="str">
        <x:v>W_SKIRTS_AVGPAID_1700_1800_ANNUAL2026.xlsx</x:v>
      </x:c>
      <x:c r="R98" s="9" t="str">
        <x:v>默认</x:v>
      </x:c>
      <x:c r="S98" s="9" t="n">
        <x:v>500</x:v>
      </x:c>
      <x:c r="T98" s="9" t="str">
        <x:v>c25ed77c53c7c5cfcf728778a0e9b297d8689503f62756a939cbd534ca9b587a</x:v>
      </x:c>
      <x:c r="U98" s="9" t="str">
        <x:v>W_SKIRTS_AVGPAID_1700_1800_ANNUAL2026</x:v>
      </x:c>
      <x:c r="V98" s="9" t="str">
        <x:v>W_SKIRTS_AVGPAID_1700_1800_ANNUAL2026.xlsx / 默认 / 第500行 / SHA256 c25ed77c53c7c5cfcf728778a0e9b297d8689503f62756a939cbd534ca9b587a</x:v>
      </x:c>
    </x:row>
    <x:row r="99" ht="58" customHeight="1">
      <x:c r="A99" s="23" t="str">
        <x:v>966982726460</x:v>
      </x:c>
      <x:c r="B99" s="22"/>
      <x:c r="C99" s="22"/>
      <x:c r="D99" s="22"/>
      <x:c r="E99" s="9" t="str">
        <x:v>裙长未明确</x:v>
      </x:c>
      <x:c r="F99" s="9" t="str">
        <x:v>裙装</x:v>
      </x:c>
      <x:c r="G99" s="9" t="str">
        <x:v>半身裙</x:v>
      </x:c>
      <x:c r="H99" s="9" t="str">
        <x:v>女</x:v>
      </x:c>
      <x:c r="I99" s="9" t="str">
        <x:v>極简显瘦松紧腰H型后开衩半裙</x:v>
      </x:c>
      <x:c r="J99" s="9" t="str">
        <x:v>AYUKO STUDIO</x:v>
      </x:c>
      <x:c r="K99" s="24" t="n">
        <x:v>1590.64</x:v>
      </x:c>
      <x:c r="L99" s="25" t="e">
        <x:f>HYPERLINK("https://item.taobao.com/item.htm?id=966982726460","打开商品")</x:f>
        <x:v>HYPERLINK is not implemented. linkLocation=https://item.taobao.com/item.htm?id=966982726460, friendlyName=打开商品</x:v>
      </x:c>
      <x:c r="M99" s="25" t="e">
        <x:f>HYPERLINK("https://data.zhiyitech.cn/itemDetail/overview/base?itemId=966982726460","打开知衣")</x:f>
        <x:v>HYPERLINK is not implemented. linkLocation=https://data.zhiyitech.cn/itemDetail/overview/base?itemId=966982726460, friendlyName=打开知衣</x:v>
      </x:c>
      <x:c r="N99" s="25" t="e">
        <x:f>HYPERLINK("https://img.alicdn.com/bao/uploaded/i2/2522860159/O1CN01EZjMWF1D2s3lPgz4l_!!2522860159.jpg","查看主图")</x:f>
        <x:v>HYPERLINK is not implemented. linkLocation=https://img.alicdn.com/bao/uploaded/i2/2522860159/O1CN01EZjMWF1D2s3lPgz4l_!!2522860159.jpg, friendlyName=查看主图</x:v>
      </x:c>
      <x:c r="O99" s="9" t="str">
        <x:v>标题及既有类目语义复核；極简显瘦松紧腰H型后开衩半裙；原类目及标题已能确认半身裙；展示使用已知大类，未知裙长下沉到结构字段，不强猜长短。</x:v>
      </x:c>
      <x:c r="P99" s="9" t="str">
        <x:v>普通男女装</x:v>
      </x:c>
      <x:c r="Q99" s="9" t="str">
        <x:v>W_SKIRTS_AVGPAID_1500_1600_ANNUAL2026.xlsx</x:v>
      </x:c>
      <x:c r="R99" s="9" t="str">
        <x:v>默认</x:v>
      </x:c>
      <x:c r="S99" s="9" t="n">
        <x:v>142</x:v>
      </x:c>
      <x:c r="T99" s="9" t="str">
        <x:v>deede8b56943df4f914be45dba170f12e69064023d6ef0e88dbde1764f6ba23e</x:v>
      </x:c>
      <x:c r="U99" s="9" t="str">
        <x:v>W_SKIRTS_AVGPAID_1500_1600_ANNUAL2026</x:v>
      </x:c>
      <x:c r="V99" s="9" t="str">
        <x:v>W_SKIRTS_AVGPAID_1500_1600_ANNUAL2026.xlsx / 默认 / 第142行 / SHA256 deede8b56943df4f914be45dba170f12e69064023d6ef0e88dbde1764f6ba23e</x:v>
      </x:c>
    </x:row>
    <x:row r="100" ht="58" customHeight="1">
      <x:c r="A100" s="23" t="str">
        <x:v>966984722016</x:v>
      </x:c>
      <x:c r="B100" s="22"/>
      <x:c r="C100" s="22"/>
      <x:c r="D100" s="22"/>
      <x:c r="E100" s="9" t="str">
        <x:v>裙长未明确</x:v>
      </x:c>
      <x:c r="F100" s="9" t="str">
        <x:v>裙装</x:v>
      </x:c>
      <x:c r="G100" s="9" t="str">
        <x:v>半身裙</x:v>
      </x:c>
      <x:c r="H100" s="9" t="str">
        <x:v>女</x:v>
      </x:c>
      <x:c r="I100" s="9" t="str">
        <x:v>Ayuko｜植鞣弹力羊皮 利落率性松紧腰后开叉 修身显瘦包臀皮半裙</x:v>
      </x:c>
      <x:c r="J100" s="9" t="str">
        <x:v>AYUKO STUDIO</x:v>
      </x:c>
      <x:c r="K100" s="24" t="n">
        <x:v>1731.97</x:v>
      </x:c>
      <x:c r="L100" s="25" t="e">
        <x:f>HYPERLINK("https://item.taobao.com/item.htm?id=966984722016","打开商品")</x:f>
        <x:v>HYPERLINK is not implemented. linkLocation=https://item.taobao.com/item.htm?id=966984722016, friendlyName=打开商品</x:v>
      </x:c>
      <x:c r="M100" s="25" t="e">
        <x:f>HYPERLINK("https://data.zhiyitech.cn/itemDetail/overview/base?itemId=966984722016","打开知衣")</x:f>
        <x:v>HYPERLINK is not implemented. linkLocation=https://data.zhiyitech.cn/itemDetail/overview/base?itemId=966984722016, friendlyName=打开知衣</x:v>
      </x:c>
      <x:c r="N100" s="25" t="e">
        <x:f>HYPERLINK("https://img.alicdn.com/bao/uploaded/i2/2522860159/O1CN01gRWV5S1D2s3lBvwmw_!!2522860159.jpg","查看主图")</x:f>
        <x:v>HYPERLINK is not implemented. linkLocation=https://img.alicdn.com/bao/uploaded/i2/2522860159/O1CN01gRWV5S1D2s3lBvwmw_!!2522860159.jpg, friendlyName=查看主图</x:v>
      </x:c>
      <x:c r="O100" s="9" t="str">
        <x:v>标题及既有类目语义复核；Ayuko｜植鞣弹力羊皮 利落率性松紧腰后开叉 修身显瘦包臀皮半裙；原类目及标题已能确认半身裙；展示使用已知大类，未知裙长下沉到结构字段，不强猜长短。</x:v>
      </x:c>
      <x:c r="P100" s="9" t="str">
        <x:v>普通男女装</x:v>
      </x:c>
      <x:c r="Q100" s="9" t="str">
        <x:v>W_SKIRTS_AVGPAID_1700_1800_ANNUAL2026.xlsx</x:v>
      </x:c>
      <x:c r="R100" s="9" t="str">
        <x:v>默认</x:v>
      </x:c>
      <x:c r="S100" s="9" t="n">
        <x:v>75</x:v>
      </x:c>
      <x:c r="T100" s="9" t="str">
        <x:v>c25ed77c53c7c5cfcf728778a0e9b297d8689503f62756a939cbd534ca9b587a</x:v>
      </x:c>
      <x:c r="U100" s="9" t="str">
        <x:v>W_SKIRTS_AVGPAID_1700_1800_ANNUAL2026</x:v>
      </x:c>
      <x:c r="V100" s="9" t="str">
        <x:v>W_SKIRTS_AVGPAID_1700_1800_ANNUAL2026.xlsx / 默认 / 第75行 / SHA256 c25ed77c53c7c5cfcf728778a0e9b297d8689503f62756a939cbd534ca9b587a</x:v>
      </x:c>
    </x:row>
    <x:row r="101" ht="58" customHeight="1">
      <x:c r="A101" s="23" t="str">
        <x:v>1044759003640</x:v>
      </x:c>
      <x:c r="B101" s="22"/>
      <x:c r="C101" s="22"/>
      <x:c r="D101" s="22"/>
      <x:c r="E101" s="9" t="str">
        <x:v>裙长未明确</x:v>
      </x:c>
      <x:c r="F101" s="9" t="str">
        <x:v>裙装</x:v>
      </x:c>
      <x:c r="G101" s="9" t="str">
        <x:v>半身裙</x:v>
      </x:c>
      <x:c r="H101" s="9" t="str">
        <x:v>女</x:v>
      </x:c>
      <x:c r="I101" s="9" t="str">
        <x:v>【秋冬新降】bash2026新款秋季沙砾豹纹法式慵懒风半身裙1H26HOEM</x:v>
      </x:c>
      <x:c r="J101" s="9" t="str">
        <x:v>BA&amp;SH</x:v>
      </x:c>
      <x:c r="K101" s="24" t="n">
        <x:v>1712.76</x:v>
      </x:c>
      <x:c r="L101" s="25" t="e">
        <x:f>HYPERLINK("https://item.taobao.com/item.htm?id=1044759003640","打开商品")</x:f>
        <x:v>HYPERLINK is not implemented. linkLocation=https://item.taobao.com/item.htm?id=1044759003640, friendlyName=打开商品</x:v>
      </x:c>
      <x:c r="M101" s="25" t="e">
        <x:f>HYPERLINK("https://data.zhiyitech.cn/itemDetail/overview/base?itemId=1044759003640","打开知衣")</x:f>
        <x:v>HYPERLINK is not implemented. linkLocation=https://data.zhiyitech.cn/itemDetail/overview/base?itemId=1044759003640, friendlyName=打开知衣</x:v>
      </x:c>
      <x:c r="N101" s="25" t="e">
        <x:f>HYPERLINK("https://img.alicdn.com/bao/uploaded/i3/3969049197/O1CN01IUyv4rtpdbE1chua_!!3969049197.jpg","查看主图")</x:f>
        <x:v>HYPERLINK is not implemented. linkLocation=https://img.alicdn.com/bao/uploaded/i3/3969049197/O1CN01IUyv4rtpdbE1chua_!!3969049197.jpg, friendlyName=查看主图</x:v>
      </x:c>
      <x:c r="O101" s="9" t="str">
        <x:v>标题及既有类目语义复核；【秋冬新降】bash2026新款秋季沙砾豹纹法式慵懒风半身裙1H26HOEM；原类目及标题已能确认半身裙；展示使用已知大类，未知裙长下沉到结构字段，不强猜长短。</x:v>
      </x:c>
      <x:c r="P101" s="9" t="str">
        <x:v>普通男女装</x:v>
      </x:c>
      <x:c r="Q101" s="9" t="str">
        <x:v>W_SKIRTS_AVGPAID_1700_1800_ANNUAL2026.xlsx</x:v>
      </x:c>
      <x:c r="R101" s="9" t="str">
        <x:v>默认</x:v>
      </x:c>
      <x:c r="S101" s="9" t="n">
        <x:v>393</x:v>
      </x:c>
      <x:c r="T101" s="9" t="str">
        <x:v>c25ed77c53c7c5cfcf728778a0e9b297d8689503f62756a939cbd534ca9b587a</x:v>
      </x:c>
      <x:c r="U101" s="9" t="str">
        <x:v>W_SKIRTS_AVGPAID_1700_1800_ANNUAL2026</x:v>
      </x:c>
      <x:c r="V101" s="9" t="str">
        <x:v>W_SKIRTS_AVGPAID_1700_1800_ANNUAL2026.xlsx / 默认 / 第393行 / SHA256 c25ed77c53c7c5cfcf728778a0e9b297d8689503f62756a939cbd534ca9b587a</x:v>
      </x:c>
    </x:row>
    <x:row r="102" ht="58" customHeight="1">
      <x:c r="A102" s="23" t="str">
        <x:v>771955574643</x:v>
      </x:c>
      <x:c r="B102" s="22"/>
      <x:c r="C102" s="22"/>
      <x:c r="D102" s="22"/>
      <x:c r="E102" s="9" t="str">
        <x:v>裙长未明确</x:v>
      </x:c>
      <x:c r="F102" s="9" t="str">
        <x:v>裙装</x:v>
      </x:c>
      <x:c r="G102" s="9" t="str">
        <x:v>半身裙</x:v>
      </x:c>
      <x:c r="H102" s="9" t="str">
        <x:v>女</x:v>
      </x:c>
      <x:c r="I102" s="9" t="str">
        <x:v>法式半裙ba&amp;sh H型优雅</x:v>
      </x:c>
      <x:c r="J102" s="9" t="str">
        <x:v>BA&amp;SH</x:v>
      </x:c>
      <x:c r="K102" s="24" t="n">
        <x:v>1359.02</x:v>
      </x:c>
      <x:c r="L102" s="25" t="e">
        <x:f>HYPERLINK("https://item.taobao.com/item.htm?id=771955574643","打开商品")</x:f>
        <x:v>HYPERLINK is not implemented. linkLocation=https://item.taobao.com/item.htm?id=771955574643, friendlyName=打开商品</x:v>
      </x:c>
      <x:c r="M102" s="25" t="e">
        <x:f>HYPERLINK("https://data.zhiyitech.cn/itemDetail/overview/base?itemId=771955574643","打开知衣")</x:f>
        <x:v>HYPERLINK is not implemented. linkLocation=https://data.zhiyitech.cn/itemDetail/overview/base?itemId=771955574643, friendlyName=打开知衣</x:v>
      </x:c>
      <x:c r="N102" s="25" t="e">
        <x:f>HYPERLINK("https://img.alicdn.com/bao/uploaded/i2/3969049197/O1CN017UIJmJaLKWK1chua_!!3969049197.jpg","查看主图")</x:f>
        <x:v>HYPERLINK is not implemented. linkLocation=https://img.alicdn.com/bao/uploaded/i2/3969049197/O1CN017UIJmJaLKWK1chua_!!3969049197.jpg, friendlyName=查看主图</x:v>
      </x:c>
      <x:c r="O102" s="9" t="str">
        <x:v>标题及既有类目语义复核；法式半裙ba&amp;sh H型优雅；原类目及标题已能确认半身裙；展示使用已知大类，未知裙长下沉到结构字段，不强猜长短。</x:v>
      </x:c>
      <x:c r="P102" s="9" t="str">
        <x:v>普通男女装</x:v>
      </x:c>
      <x:c r="Q102" s="9" t="str">
        <x:v>W_SKIRTS_AVGPAID_1300_1400_ANNUAL2026.xlsx</x:v>
      </x:c>
      <x:c r="R102" s="9" t="str">
        <x:v>默认</x:v>
      </x:c>
      <x:c r="S102" s="9" t="n">
        <x:v>308</x:v>
      </x:c>
      <x:c r="T102" s="9" t="str">
        <x:v>bd4dae1e08e9eca7ddd0669235bf59107cdc418b9c2898fc16f36a7ab5748692</x:v>
      </x:c>
      <x:c r="U102" s="9" t="str">
        <x:v>W_SKIRTS_AVGPAID_1300_1400_ANNUAL2026</x:v>
      </x:c>
      <x:c r="V102" s="9" t="str">
        <x:v>W_SKIRTS_AVGPAID_1300_1400_ANNUAL2026.xlsx / 默认 / 第308行 / SHA256 bd4dae1e08e9eca7ddd0669235bf59107cdc418b9c2898fc16f36a7ab5748692</x:v>
      </x:c>
    </x:row>
    <x:row r="103" ht="58" customHeight="1">
      <x:c r="A103" s="23" t="str">
        <x:v>787302781416</x:v>
      </x:c>
      <x:c r="B103" s="22"/>
      <x:c r="C103" s="22"/>
      <x:c r="D103" s="22"/>
      <x:c r="E103" s="9" t="str">
        <x:v>裙长未明确</x:v>
      </x:c>
      <x:c r="F103" s="9" t="str">
        <x:v>裙装</x:v>
      </x:c>
      <x:c r="G103" s="9" t="str">
        <x:v>半身裙</x:v>
      </x:c>
      <x:c r="H103" s="9" t="str">
        <x:v>女</x:v>
      </x:c>
      <x:c r="I103" s="9" t="str">
        <x:v>ba&amp;sh白色蕾丝花卉半裙</x:v>
      </x:c>
      <x:c r="J103" s="9" t="str">
        <x:v>BA&amp;SH</x:v>
      </x:c>
      <x:c r="K103" s="24" t="n">
        <x:v>1383.07</x:v>
      </x:c>
      <x:c r="L103" s="25" t="e">
        <x:f>HYPERLINK("https://item.taobao.com/item.htm?id=787302781416","打开商品")</x:f>
        <x:v>HYPERLINK is not implemented. linkLocation=https://item.taobao.com/item.htm?id=787302781416, friendlyName=打开商品</x:v>
      </x:c>
      <x:c r="M103" s="25" t="e">
        <x:f>HYPERLINK("https://data.zhiyitech.cn/itemDetail/overview/base?itemId=787302781416","打开知衣")</x:f>
        <x:v>HYPERLINK is not implemented. linkLocation=https://data.zhiyitech.cn/itemDetail/overview/base?itemId=787302781416, friendlyName=打开知衣</x:v>
      </x:c>
      <x:c r="N103" s="25" t="e">
        <x:f>HYPERLINK("https://img.alicdn.com/bao/uploaded/i2/3969049197/O1CN01OqtY1ACW79K1chua_!!3969049197.jpg","查看主图")</x:f>
        <x:v>HYPERLINK is not implemented. linkLocation=https://img.alicdn.com/bao/uploaded/i2/3969049197/O1CN01OqtY1ACW79K1chua_!!3969049197.jpg, friendlyName=查看主图</x:v>
      </x:c>
      <x:c r="O103" s="9" t="str">
        <x:v>标题及既有类目语义复核；ba&amp;sh白色蕾丝花卉半裙；原类目及标题已能确认半身裙；展示使用已知大类，未知裙长下沉到结构字段，不强猜长短。</x:v>
      </x:c>
      <x:c r="P103" s="9" t="str">
        <x:v>普通男女装</x:v>
      </x:c>
      <x:c r="Q103" s="9" t="str">
        <x:v>W_SKIRTS_AVGPAID_1300_1400_ANNUAL2026.xlsx</x:v>
      </x:c>
      <x:c r="R103" s="9" t="str">
        <x:v>默认</x:v>
      </x:c>
      <x:c r="S103" s="9" t="n">
        <x:v>432</x:v>
      </x:c>
      <x:c r="T103" s="9" t="str">
        <x:v>bd4dae1e08e9eca7ddd0669235bf59107cdc418b9c2898fc16f36a7ab5748692</x:v>
      </x:c>
      <x:c r="U103" s="9" t="str">
        <x:v>W_SKIRTS_AVGPAID_1300_1400_ANNUAL2026</x:v>
      </x:c>
      <x:c r="V103" s="9" t="str">
        <x:v>W_SKIRTS_AVGPAID_1300_1400_ANNUAL2026.xlsx / 默认 / 第432行 / SHA256 bd4dae1e08e9eca7ddd0669235bf59107cdc418b9c2898fc16f36a7ab5748692</x:v>
      </x:c>
    </x:row>
    <x:row r="104" ht="58" customHeight="1">
      <x:c r="A104" s="23" t="str">
        <x:v>807895653444</x:v>
      </x:c>
      <x:c r="B104" s="22"/>
      <x:c r="C104" s="22"/>
      <x:c r="D104" s="22"/>
      <x:c r="E104" s="9" t="str">
        <x:v>裙长未明确</x:v>
      </x:c>
      <x:c r="F104" s="9" t="str">
        <x:v>裙装</x:v>
      </x:c>
      <x:c r="G104" s="9" t="str">
        <x:v>半身裙</x:v>
      </x:c>
      <x:c r="H104" s="9" t="str">
        <x:v>女</x:v>
      </x:c>
      <x:c r="I104" s="9" t="str">
        <x:v>ba&amp;sh垂感气质法式半身裙</x:v>
      </x:c>
      <x:c r="J104" s="9" t="str">
        <x:v>BA&amp;SH</x:v>
      </x:c>
      <x:c r="K104" s="24" t="n">
        <x:v>1550.61</x:v>
      </x:c>
      <x:c r="L104" s="25" t="e">
        <x:f>HYPERLINK("https://item.taobao.com/item.htm?id=807895653444","打开商品")</x:f>
        <x:v>HYPERLINK is not implemented. linkLocation=https://item.taobao.com/item.htm?id=807895653444, friendlyName=打开商品</x:v>
      </x:c>
      <x:c r="M104" s="25" t="e">
        <x:f>HYPERLINK("https://data.zhiyitech.cn/itemDetail/overview/base?itemId=807895653444","打开知衣")</x:f>
        <x:v>HYPERLINK is not implemented. linkLocation=https://data.zhiyitech.cn/itemDetail/overview/base?itemId=807895653444, friendlyName=打开知衣</x:v>
      </x:c>
      <x:c r="N104" s="25" t="e">
        <x:f>HYPERLINK("https://img.alicdn.com/bao/uploaded/i1/3969049197/O1CN01cNSN2k82zZG1chua_!!3969049197.jpg","查看主图")</x:f>
        <x:v>HYPERLINK is not implemented. linkLocation=https://img.alicdn.com/bao/uploaded/i1/3969049197/O1CN01cNSN2k82zZG1chua_!!3969049197.jpg, friendlyName=查看主图</x:v>
      </x:c>
      <x:c r="O104" s="9" t="str">
        <x:v>标题及既有类目语义复核；ba&amp;sh垂感气质法式半身裙；原类目及标题已能确认半身裙；展示使用已知大类，未知裙长下沉到结构字段，不强猜长短。</x:v>
      </x:c>
      <x:c r="P104" s="9" t="str">
        <x:v>普通男女装</x:v>
      </x:c>
      <x:c r="Q104" s="9" t="str">
        <x:v>W_SKIRTS_AVGPAID_1500_1600_ANNUAL2026.xlsx</x:v>
      </x:c>
      <x:c r="R104" s="9" t="str">
        <x:v>默认</x:v>
      </x:c>
      <x:c r="S104" s="9" t="n">
        <x:v>402</x:v>
      </x:c>
      <x:c r="T104" s="9" t="str">
        <x:v>deede8b56943df4f914be45dba170f12e69064023d6ef0e88dbde1764f6ba23e</x:v>
      </x:c>
      <x:c r="U104" s="9" t="str">
        <x:v>W_SKIRTS_AVGPAID_1500_1600_ANNUAL2026</x:v>
      </x:c>
      <x:c r="V104" s="9" t="str">
        <x:v>W_SKIRTS_AVGPAID_1500_1600_ANNUAL2026.xlsx / 默认 / 第402行 / SHA256 deede8b56943df4f914be45dba170f12e69064023d6ef0e88dbde1764f6ba23e</x:v>
      </x:c>
    </x:row>
    <x:row r="105" ht="58" customHeight="1">
      <x:c r="A105" s="23" t="str">
        <x:v>826845622788</x:v>
      </x:c>
      <x:c r="B105" s="22"/>
      <x:c r="C105" s="22"/>
      <x:c r="D105" s="22"/>
      <x:c r="E105" s="9" t="str">
        <x:v>裙长未明确</x:v>
      </x:c>
      <x:c r="F105" s="9" t="str">
        <x:v>裙装</x:v>
      </x:c>
      <x:c r="G105" s="9" t="str">
        <x:v>半身裙</x:v>
      </x:c>
      <x:c r="H105" s="9" t="str">
        <x:v>女</x:v>
      </x:c>
      <x:c r="I105" s="9" t="str">
        <x:v>【臻奢系列】[杨采钰同款]bash秋季小香风格子法式半身裙1H24ROKI</x:v>
      </x:c>
      <x:c r="J105" s="9" t="str">
        <x:v>BA&amp;SH</x:v>
      </x:c>
      <x:c r="K105" s="24" t="n">
        <x:v>1737.73</x:v>
      </x:c>
      <x:c r="L105" s="25" t="e">
        <x:f>HYPERLINK("https://item.taobao.com/item.htm?id=826845622788","打开商品")</x:f>
        <x:v>HYPERLINK is not implemented. linkLocation=https://item.taobao.com/item.htm?id=826845622788, friendlyName=打开商品</x:v>
      </x:c>
      <x:c r="M105" s="25" t="e">
        <x:f>HYPERLINK("https://data.zhiyitech.cn/itemDetail/overview/base?itemId=826845622788","打开知衣")</x:f>
        <x:v>HYPERLINK is not implemented. linkLocation=https://data.zhiyitech.cn/itemDetail/overview/base?itemId=826845622788, friendlyName=打开知衣</x:v>
      </x:c>
      <x:c r="N105" s="25" t="e">
        <x:f>HYPERLINK("https://img.alicdn.com/bao/uploaded/i4/3969049197/O1CN01cD6nO5iiXiJ1chua_!!3969049197.jpg","查看主图")</x:f>
        <x:v>HYPERLINK is not implemented. linkLocation=https://img.alicdn.com/bao/uploaded/i4/3969049197/O1CN01cD6nO5iiXiJ1chua_!!3969049197.jpg, friendlyName=查看主图</x:v>
      </x:c>
      <x:c r="O105" s="9" t="str">
        <x:v>标题及既有类目语义复核；【臻奢系列】[杨采钰同款]bash秋季小香风格子法式半身裙1H24ROKI；原类目及标题已能确认半身裙；展示使用已知大类，未知裙长下沉到结构字段，不强猜长短。</x:v>
      </x:c>
      <x:c r="P105" s="9" t="str">
        <x:v>普通男女装</x:v>
      </x:c>
      <x:c r="Q105" s="9" t="str">
        <x:v>W_SKIRTS_AVGPAID_1700_1800_ANNUAL2026.xlsx</x:v>
      </x:c>
      <x:c r="R105" s="9" t="str">
        <x:v>默认</x:v>
      </x:c>
      <x:c r="S105" s="9" t="n">
        <x:v>253</x:v>
      </x:c>
      <x:c r="T105" s="9" t="str">
        <x:v>c25ed77c53c7c5cfcf728778a0e9b297d8689503f62756a939cbd534ca9b587a</x:v>
      </x:c>
      <x:c r="U105" s="9" t="str">
        <x:v>W_SKIRTS_AVGPAID_1700_1800_ANNUAL2026</x:v>
      </x:c>
      <x:c r="V105" s="9" t="str">
        <x:v>W_SKIRTS_AVGPAID_1700_1800_ANNUAL2026.xlsx / 默认 / 第253行 / SHA256 c25ed77c53c7c5cfcf728778a0e9b297d8689503f62756a939cbd534ca9b587a</x:v>
      </x:c>
    </x:row>
    <x:row r="106" ht="58" customHeight="1">
      <x:c r="A106" s="23" t="str">
        <x:v>865342096889</x:v>
      </x:c>
      <x:c r="B106" s="22"/>
      <x:c r="C106" s="22"/>
      <x:c r="D106" s="22"/>
      <x:c r="E106" s="9" t="str">
        <x:v>裙长未明确</x:v>
      </x:c>
      <x:c r="F106" s="9" t="str">
        <x:v>裙装</x:v>
      </x:c>
      <x:c r="G106" s="9" t="str">
        <x:v>半身裙</x:v>
      </x:c>
      <x:c r="H106" s="9" t="str">
        <x:v>女</x:v>
      </x:c>
      <x:c r="I106" s="9" t="str">
        <x:v>【杨采钰同款】bash秋季森林谜影法式度假风蛋糕裙半身裙1E25COCC</x:v>
      </x:c>
      <x:c r="J106" s="9" t="str">
        <x:v>BA&amp;SH</x:v>
      </x:c>
      <x:c r="K106" s="24" t="n">
        <x:v>1783.7</x:v>
      </x:c>
      <x:c r="L106" s="25" t="e">
        <x:f>HYPERLINK("https://item.taobao.com/item.htm?id=865342096889","打开商品")</x:f>
        <x:v>HYPERLINK is not implemented. linkLocation=https://item.taobao.com/item.htm?id=865342096889, friendlyName=打开商品</x:v>
      </x:c>
      <x:c r="M106" s="25" t="e">
        <x:f>HYPERLINK("https://data.zhiyitech.cn/itemDetail/overview/base?itemId=865342096889","打开知衣")</x:f>
        <x:v>HYPERLINK is not implemented. linkLocation=https://data.zhiyitech.cn/itemDetail/overview/base?itemId=865342096889, friendlyName=打开知衣</x:v>
      </x:c>
      <x:c r="N106" s="25" t="e">
        <x:f>HYPERLINK("https://img.alicdn.com/bao/uploaded/i2/3969049197/O1CN01OEASwjpC0MB1chua_!!3969049197.jpg","查看主图")</x:f>
        <x:v>HYPERLINK is not implemented. linkLocation=https://img.alicdn.com/bao/uploaded/i2/3969049197/O1CN01OEASwjpC0MB1chua_!!3969049197.jpg, friendlyName=查看主图</x:v>
      </x:c>
      <x:c r="O106" s="9" t="str">
        <x:v>标题及既有类目语义复核；【杨采钰同款】bash秋季森林谜影法式度假风蛋糕裙半身裙1E25COCC；原类目及标题已能确认半身裙；展示使用已知大类，未知裙长下沉到结构字段，不强猜长短。</x:v>
      </x:c>
      <x:c r="P106" s="9" t="str">
        <x:v>普通男女装</x:v>
      </x:c>
      <x:c r="Q106" s="9" t="str">
        <x:v>W_SKIRTS_AVGPAID_1700_1800_ANNUAL2026.xlsx</x:v>
      </x:c>
      <x:c r="R106" s="9" t="str">
        <x:v>默认</x:v>
      </x:c>
      <x:c r="S106" s="9" t="n">
        <x:v>101</x:v>
      </x:c>
      <x:c r="T106" s="9" t="str">
        <x:v>c25ed77c53c7c5cfcf728778a0e9b297d8689503f62756a939cbd534ca9b587a</x:v>
      </x:c>
      <x:c r="U106" s="9" t="str">
        <x:v>W_SKIRTS_AVGPAID_1700_1800_ANNUAL2026</x:v>
      </x:c>
      <x:c r="V106" s="9" t="str">
        <x:v>W_SKIRTS_AVGPAID_1700_1800_ANNUAL2026.xlsx / 默认 / 第101行 / SHA256 c25ed77c53c7c5cfcf728778a0e9b297d8689503f62756a939cbd534ca9b587a</x:v>
      </x:c>
    </x:row>
    <x:row r="107" ht="58" customHeight="1">
      <x:c r="A107" s="23" t="str">
        <x:v>877506882138</x:v>
      </x:c>
      <x:c r="B107" s="22"/>
      <x:c r="C107" s="22"/>
      <x:c r="D107" s="22"/>
      <x:c r="E107" s="9" t="str">
        <x:v>裙长未明确</x:v>
      </x:c>
      <x:c r="F107" s="9" t="str">
        <x:v>裙装</x:v>
      </x:c>
      <x:c r="G107" s="9" t="str">
        <x:v>半身裙</x:v>
      </x:c>
      <x:c r="H107" s="9" t="str">
        <x:v>女</x:v>
      </x:c>
      <x:c r="I107" s="9" t="str">
        <x:v>法式渐变朦胧桑蚕丝半身裙</x:v>
      </x:c>
      <x:c r="J107" s="9" t="str">
        <x:v>BA&amp;SH</x:v>
      </x:c>
      <x:c r="K107" s="24" t="n">
        <x:v>1777.05</x:v>
      </x:c>
      <x:c r="L107" s="25" t="e">
        <x:f>HYPERLINK("https://item.taobao.com/item.htm?id=877506882138","打开商品")</x:f>
        <x:v>HYPERLINK is not implemented. linkLocation=https://item.taobao.com/item.htm?id=877506882138, friendlyName=打开商品</x:v>
      </x:c>
      <x:c r="M107" s="25" t="e">
        <x:f>HYPERLINK("https://data.zhiyitech.cn/itemDetail/overview/base?itemId=877506882138","打开知衣")</x:f>
        <x:v>HYPERLINK is not implemented. linkLocation=https://data.zhiyitech.cn/itemDetail/overview/base?itemId=877506882138, friendlyName=打开知衣</x:v>
      </x:c>
      <x:c r="N107" s="25" t="e">
        <x:f>HYPERLINK("https://img.alicdn.com/bao/uploaded/i4/3969049197/O1CN01qQTCSn0ACZG1chua_!!3969049197.jpg","查看主图")</x:f>
        <x:v>HYPERLINK is not implemented. linkLocation=https://img.alicdn.com/bao/uploaded/i4/3969049197/O1CN01qQTCSn0ACZG1chua_!!3969049197.jpg, friendlyName=查看主图</x:v>
      </x:c>
      <x:c r="O107" s="9" t="str">
        <x:v>标题及既有类目语义复核；法式渐变朦胧桑蚕丝半身裙；原类目及标题已能确认半身裙；展示使用已知大类，未知裙长下沉到结构字段，不强猜长短。</x:v>
      </x:c>
      <x:c r="P107" s="9" t="str">
        <x:v>普通男女装</x:v>
      </x:c>
      <x:c r="Q107" s="9" t="str">
        <x:v>W_SKIRTS_AVGPAID_1700_1800_ANNUAL2026.xlsx</x:v>
      </x:c>
      <x:c r="R107" s="9" t="str">
        <x:v>默认</x:v>
      </x:c>
      <x:c r="S107" s="9" t="n">
        <x:v>245</x:v>
      </x:c>
      <x:c r="T107" s="9" t="str">
        <x:v>c25ed77c53c7c5cfcf728778a0e9b297d8689503f62756a939cbd534ca9b587a</x:v>
      </x:c>
      <x:c r="U107" s="9" t="str">
        <x:v>W_SKIRTS_AVGPAID_1700_1800_ANNUAL2026</x:v>
      </x:c>
      <x:c r="V107" s="9" t="str">
        <x:v>W_SKIRTS_AVGPAID_1700_1800_ANNUAL2026.xlsx / 默认 / 第245行 / SHA256 c25ed77c53c7c5cfcf728778a0e9b297d8689503f62756a939cbd534ca9b587a</x:v>
      </x:c>
    </x:row>
    <x:row r="108" ht="58" customHeight="1">
      <x:c r="A108" s="23" t="str">
        <x:v>1055171322485</x:v>
      </x:c>
      <x:c r="B108" s="22"/>
      <x:c r="C108" s="22"/>
      <x:c r="D108" s="22"/>
      <x:c r="E108" s="9" t="str">
        <x:v>裙长未明确</x:v>
      </x:c>
      <x:c r="F108" s="9" t="str">
        <x:v>裙装</x:v>
      </x:c>
      <x:c r="G108" s="9" t="str">
        <x:v>半身裙</x:v>
      </x:c>
      <x:c r="H108" s="9" t="str">
        <x:v>女</x:v>
      </x:c>
      <x:c r="I108" s="9" t="str">
        <x:v>BACKATONE"自然主义"斑马纹复古野性不规则半裙桑蚕丝PU半身裙女</x:v>
      </x:c>
      <x:c r="J108" s="9" t="str">
        <x:v>BACKATONE</x:v>
      </x:c>
      <x:c r="K108" s="24" t="n">
        <x:v>1356.41</x:v>
      </x:c>
      <x:c r="L108" s="25" t="e">
        <x:f>HYPERLINK("https://item.taobao.com/item.htm?id=1055171322485","打开商品")</x:f>
        <x:v>HYPERLINK is not implemented. linkLocation=https://item.taobao.com/item.htm?id=1055171322485, friendlyName=打开商品</x:v>
      </x:c>
      <x:c r="M108" s="25" t="e">
        <x:f>HYPERLINK("https://data.zhiyitech.cn/itemDetail/overview/base?itemId=1055171322485","打开知衣")</x:f>
        <x:v>HYPERLINK is not implemented. linkLocation=https://data.zhiyitech.cn/itemDetail/overview/base?itemId=1055171322485, friendlyName=打开知衣</x:v>
      </x:c>
      <x:c r="N108" s="25" t="e">
        <x:f>HYPERLINK("https://img.alicdn.com/bao/uploaded/i3/704507747/O1CN01sKA1p5276BSweeGye_!!704507747.jpg","查看主图")</x:f>
        <x:v>HYPERLINK is not implemented. linkLocation=https://img.alicdn.com/bao/uploaded/i3/704507747/O1CN01sKA1p5276BSweeGye_!!704507747.jpg, friendlyName=查看主图</x:v>
      </x:c>
      <x:c r="O108" s="9" t="str">
        <x:v>标题及既有类目语义复核；BACKATONE"自然主义"斑马纹复古野性不规则半裙桑蚕丝PU半身裙女；原类目及标题已能确认半身裙；展示使用已知大类，未知裙长下沉到结构字段，不强猜长短。</x:v>
      </x:c>
      <x:c r="P108" s="9" t="str">
        <x:v>普通男女装</x:v>
      </x:c>
      <x:c r="Q108" s="9" t="str">
        <x:v>W_SKIRTS_AVGPAID_1300_1400_ANNUAL2026.xlsx</x:v>
      </x:c>
      <x:c r="R108" s="9" t="str">
        <x:v>默认</x:v>
      </x:c>
      <x:c r="S108" s="9" t="n">
        <x:v>352</x:v>
      </x:c>
      <x:c r="T108" s="9" t="str">
        <x:v>bd4dae1e08e9eca7ddd0669235bf59107cdc418b9c2898fc16f36a7ab5748692</x:v>
      </x:c>
      <x:c r="U108" s="9" t="str">
        <x:v>W_SKIRTS_AVGPAID_1300_1400_ANNUAL2026</x:v>
      </x:c>
      <x:c r="V108" s="9" t="str">
        <x:v>W_SKIRTS_AVGPAID_1300_1400_ANNUAL2026.xlsx / 默认 / 第352行 / SHA256 bd4dae1e08e9eca7ddd0669235bf59107cdc418b9c2898fc16f36a7ab5748692</x:v>
      </x:c>
    </x:row>
    <x:row r="109" ht="58" customHeight="1">
      <x:c r="A109" s="23" t="str">
        <x:v>1068982167709</x:v>
      </x:c>
      <x:c r="B109" s="22"/>
      <x:c r="C109" s="22"/>
      <x:c r="D109" s="22"/>
      <x:c r="E109" s="9" t="str">
        <x:v>裙长未明确</x:v>
      </x:c>
      <x:c r="F109" s="9" t="str">
        <x:v>裙装</x:v>
      </x:c>
      <x:c r="G109" s="9" t="str">
        <x:v>半身裙</x:v>
      </x:c>
      <x:c r="H109" s="9" t="str">
        <x:v>女</x:v>
      </x:c>
      <x:c r="I109" s="9" t="str">
        <x:v>BACKATONE羊皮革A字显瘦半裙</x:v>
      </x:c>
      <x:c r="J109" s="9" t="str">
        <x:v>BACKATONE</x:v>
      </x:c>
      <x:c r="K109" s="24" t="n">
        <x:v>1322.11</x:v>
      </x:c>
      <x:c r="L109" s="25" t="e">
        <x:f>HYPERLINK("https://item.taobao.com/item.htm?id=1068982167709","打开商品")</x:f>
        <x:v>HYPERLINK is not implemented. linkLocation=https://item.taobao.com/item.htm?id=1068982167709, friendlyName=打开商品</x:v>
      </x:c>
      <x:c r="M109" s="25" t="e">
        <x:f>HYPERLINK("https://data.zhiyitech.cn/itemDetail/overview/base?itemId=1068982167709","打开知衣")</x:f>
        <x:v>HYPERLINK is not implemented. linkLocation=https://data.zhiyitech.cn/itemDetail/overview/base?itemId=1068982167709, friendlyName=打开知衣</x:v>
      </x:c>
      <x:c r="N109" s="25" t="e">
        <x:f>HYPERLINK("https://img.alicdn.com/bao/uploaded/i4/704507747/O1CN01pTc8v9276BTi2qdho_!!704507747.jpg","查看主图")</x:f>
        <x:v>HYPERLINK is not implemented. linkLocation=https://img.alicdn.com/bao/uploaded/i4/704507747/O1CN01pTc8v9276BTi2qdho_!!704507747.jpg, friendlyName=查看主图</x:v>
      </x:c>
      <x:c r="O109" s="9" t="str">
        <x:v>标题及既有类目语义复核；BACKATONE羊皮革A字显瘦半裙；原类目及标题已能确认半身裙；展示使用已知大类，未知裙长下沉到结构字段，不强猜长短。</x:v>
      </x:c>
      <x:c r="P109" s="9" t="str">
        <x:v>普通男女装</x:v>
      </x:c>
      <x:c r="Q109" s="9" t="str">
        <x:v>W_SKIRTS_AVGPAID_1300_1400_ANNUAL2026.xlsx</x:v>
      </x:c>
      <x:c r="R109" s="9" t="str">
        <x:v>默认</x:v>
      </x:c>
      <x:c r="S109" s="9" t="n">
        <x:v>459</x:v>
      </x:c>
      <x:c r="T109" s="9" t="str">
        <x:v>bd4dae1e08e9eca7ddd0669235bf59107cdc418b9c2898fc16f36a7ab5748692</x:v>
      </x:c>
      <x:c r="U109" s="9" t="str">
        <x:v>W_SKIRTS_AVGPAID_1300_1400_ANNUAL2026</x:v>
      </x:c>
      <x:c r="V109" s="9" t="str">
        <x:v>W_SKIRTS_AVGPAID_1300_1400_ANNUAL2026.xlsx / 默认 / 第459行 / SHA256 bd4dae1e08e9eca7ddd0669235bf59107cdc418b9c2898fc16f36a7ab5748692</x:v>
      </x:c>
    </x:row>
    <x:row r="110" ht="58" customHeight="1">
      <x:c r="A110" s="23" t="str">
        <x:v>1089517859275</x:v>
      </x:c>
      <x:c r="B110" s="22"/>
      <x:c r="C110" s="22"/>
      <x:c r="D110" s="22"/>
      <x:c r="E110" s="9" t="str">
        <x:v>裙长未明确</x:v>
      </x:c>
      <x:c r="F110" s="9" t="str">
        <x:v>裙装</x:v>
      </x:c>
      <x:c r="G110" s="9" t="str">
        <x:v>半身裙</x:v>
      </x:c>
      <x:c r="H110" s="9" t="str">
        <x:v>女</x:v>
      </x:c>
      <x:c r="I110" s="9" t="str">
        <x:v>BACKATONE“摩登家”罗纹拼接工装气质设计感潮流时尚百搭皮裙女</x:v>
      </x:c>
      <x:c r="J110" s="9" t="str">
        <x:v>BACKATONE</x:v>
      </x:c>
      <x:c r="K110" s="24" t="n">
        <x:v>1347.29</x:v>
      </x:c>
      <x:c r="L110" s="25" t="e">
        <x:f>HYPERLINK("https://item.taobao.com/item.htm?id=1089517859275","打开商品")</x:f>
        <x:v>HYPERLINK is not implemented. linkLocation=https://item.taobao.com/item.htm?id=1089517859275, friendlyName=打开商品</x:v>
      </x:c>
      <x:c r="M110" s="25" t="e">
        <x:f>HYPERLINK("https://data.zhiyitech.cn/itemDetail/overview/base?itemId=1089517859275","打开知衣")</x:f>
        <x:v>HYPERLINK is not implemented. linkLocation=https://data.zhiyitech.cn/itemDetail/overview/base?itemId=1089517859275, friendlyName=打开知衣</x:v>
      </x:c>
      <x:c r="N110" s="25" t="e">
        <x:f>HYPERLINK("https://img.alicdn.com/bao/uploaded/i4/704507747/O1CN01es2EimAWL7D2BxHU_!!704507747.jpg","查看主图")</x:f>
        <x:v>HYPERLINK is not implemented. linkLocation=https://img.alicdn.com/bao/uploaded/i4/704507747/O1CN01es2EimAWL7D2BxHU_!!704507747.jpg, friendlyName=查看主图</x:v>
      </x:c>
      <x:c r="O110" s="9" t="str">
        <x:v>标题及既有类目语义复核；BACKATONE“摩登家”罗纹拼接工装气质设计感潮流时尚百搭皮裙女；原类目及标题已能确认半身裙；展示使用已知大类，未知裙长下沉到结构字段，不强猜长短。</x:v>
      </x:c>
      <x:c r="P110" s="9" t="str">
        <x:v>普通男女装</x:v>
      </x:c>
      <x:c r="Q110" s="9" t="str">
        <x:v>W_SKIRTS_AVGPAID_1300_1400_ANNUAL2026.xlsx</x:v>
      </x:c>
      <x:c r="R110" s="9" t="str">
        <x:v>默认</x:v>
      </x:c>
      <x:c r="S110" s="9" t="n">
        <x:v>288</x:v>
      </x:c>
      <x:c r="T110" s="9" t="str">
        <x:v>bd4dae1e08e9eca7ddd0669235bf59107cdc418b9c2898fc16f36a7ab5748692</x:v>
      </x:c>
      <x:c r="U110" s="9" t="str">
        <x:v>W_SKIRTS_AVGPAID_1300_1400_ANNUAL2026</x:v>
      </x:c>
      <x:c r="V110" s="9" t="str">
        <x:v>W_SKIRTS_AVGPAID_1300_1400_ANNUAL2026.xlsx / 默认 / 第288行 / SHA256 bd4dae1e08e9eca7ddd0669235bf59107cdc418b9c2898fc16f36a7ab5748692</x:v>
      </x:c>
    </x:row>
    <x:row r="111" ht="58" customHeight="1">
      <x:c r="A111" s="23" t="str">
        <x:v>851235685089</x:v>
      </x:c>
      <x:c r="B111" s="22"/>
      <x:c r="C111" s="22"/>
      <x:c r="D111" s="22"/>
      <x:c r="E111" s="9" t="str">
        <x:v>裙长未明确</x:v>
      </x:c>
      <x:c r="F111" s="9" t="str">
        <x:v>裙装</x:v>
      </x:c>
      <x:c r="G111" s="9" t="str">
        <x:v>半身裙</x:v>
      </x:c>
      <x:c r="H111" s="9" t="str">
        <x:v>女</x:v>
      </x:c>
      <x:c r="I111" s="9" t="str">
        <x:v>BANXIAOXUE班晓雪冬季且听风吟系列舒绒羊毛叶子流苏半裙</x:v>
      </x:c>
      <x:c r="J111" s="9" t="str">
        <x:v>BANXIAOXUE</x:v>
      </x:c>
      <x:c r="K111" s="24" t="n">
        <x:v>1707.41</x:v>
      </x:c>
      <x:c r="L111" s="25" t="e">
        <x:f>HYPERLINK("https://item.taobao.com/item.htm?id=851235685089","打开商品")</x:f>
        <x:v>HYPERLINK is not implemented. linkLocation=https://item.taobao.com/item.htm?id=851235685089, friendlyName=打开商品</x:v>
      </x:c>
      <x:c r="M111" s="25" t="e">
        <x:f>HYPERLINK("https://data.zhiyitech.cn/itemDetail/overview/base?itemId=851235685089","打开知衣")</x:f>
        <x:v>HYPERLINK is not implemented. linkLocation=https://data.zhiyitech.cn/itemDetail/overview/base?itemId=851235685089, friendlyName=打开知衣</x:v>
      </x:c>
      <x:c r="N111" s="25" t="e">
        <x:f>HYPERLINK("https://img.alicdn.com/bao/uploaded/i4/3708819329/O1CN016HX61R2ImjuAoc5Cx_!!4611686018427385729-0-item_pic.jpg","查看主图")</x:f>
        <x:v>HYPERLINK is not implemented. linkLocation=https://img.alicdn.com/bao/uploaded/i4/3708819329/O1CN016HX61R2ImjuAoc5Cx_!!4611686018427385729-0-item_pic.jpg, friendlyName=查看主图</x:v>
      </x:c>
      <x:c r="O111" s="9" t="str">
        <x:v>标题及既有类目语义复核；BANXIAOXUE班晓雪冬季且听风吟系列舒绒羊毛叶子流苏半裙；原类目及标题已能确认半身裙；展示使用已知大类，未知裙长下沉到结构字段，不强猜长短。</x:v>
      </x:c>
      <x:c r="P111" s="9" t="str">
        <x:v>普通男女装</x:v>
      </x:c>
      <x:c r="Q111" s="9" t="str">
        <x:v>W_SKIRTS_AVGPAID_1700_1800_ANNUAL2026.xlsx</x:v>
      </x:c>
      <x:c r="R111" s="9" t="str">
        <x:v>默认</x:v>
      </x:c>
      <x:c r="S111" s="9" t="n">
        <x:v>450</x:v>
      </x:c>
      <x:c r="T111" s="9" t="str">
        <x:v>c25ed77c53c7c5cfcf728778a0e9b297d8689503f62756a939cbd534ca9b587a</x:v>
      </x:c>
      <x:c r="U111" s="9" t="str">
        <x:v>W_SKIRTS_AVGPAID_1700_1800_ANNUAL2026</x:v>
      </x:c>
      <x:c r="V111" s="9" t="str">
        <x:v>W_SKIRTS_AVGPAID_1700_1800_ANNUAL2026.xlsx / 默认 / 第450行 / SHA256 c25ed77c53c7c5cfcf728778a0e9b297d8689503f62756a939cbd534ca9b587a</x:v>
      </x:c>
    </x:row>
    <x:row r="112" ht="58" customHeight="1">
      <x:c r="A112" s="23" t="str">
        <x:v>931117211073</x:v>
      </x:c>
      <x:c r="B112" s="22"/>
      <x:c r="C112" s="22"/>
      <x:c r="D112" s="22"/>
      <x:c r="E112" s="9" t="str">
        <x:v>裙长未明确</x:v>
      </x:c>
      <x:c r="F112" s="9" t="str">
        <x:v>裙装</x:v>
      </x:c>
      <x:c r="G112" s="9" t="str">
        <x:v>半身裙</x:v>
      </x:c>
      <x:c r="H112" s="9" t="str">
        <x:v>女</x:v>
      </x:c>
      <x:c r="I112" s="9" t="str">
        <x:v>BANXIAOXUE班晓雪百搭叠式半身裙</x:v>
      </x:c>
      <x:c r="J112" s="9" t="str">
        <x:v>BANXIAOXUE</x:v>
      </x:c>
      <x:c r="K112" s="24" t="n">
        <x:v>1794.43</x:v>
      </x:c>
      <x:c r="L112" s="25" t="e">
        <x:f>HYPERLINK("https://item.taobao.com/item.htm?id=931117211073","打开商品")</x:f>
        <x:v>HYPERLINK is not implemented. linkLocation=https://item.taobao.com/item.htm?id=931117211073, friendlyName=打开商品</x:v>
      </x:c>
      <x:c r="M112" s="25" t="e">
        <x:f>HYPERLINK("https://data.zhiyitech.cn/itemDetail/overview/base?itemId=931117211073","打开知衣")</x:f>
        <x:v>HYPERLINK is not implemented. linkLocation=https://data.zhiyitech.cn/itemDetail/overview/base?itemId=931117211073, friendlyName=打开知衣</x:v>
      </x:c>
      <x:c r="N112" s="25" t="e">
        <x:f>HYPERLINK("https://img.alicdn.com/bao/uploaded/i4/3708819329/O1CN01WPnLFD2ImjxQuzgvr_!!4611686018427385729-0-item_pic.jpg","查看主图")</x:f>
        <x:v>HYPERLINK is not implemented. linkLocation=https://img.alicdn.com/bao/uploaded/i4/3708819329/O1CN01WPnLFD2ImjxQuzgvr_!!4611686018427385729-0-item_pic.jpg, friendlyName=查看主图</x:v>
      </x:c>
      <x:c r="O112" s="9" t="str">
        <x:v>标题及既有类目语义复核；BANXIAOXUE班晓雪百搭叠式半身裙；原类目及标题已能确认半身裙；展示使用已知大类，未知裙长下沉到结构字段，不强猜长短。</x:v>
      </x:c>
      <x:c r="P112" s="9" t="str">
        <x:v>普通男女装</x:v>
      </x:c>
      <x:c r="Q112" s="9" t="str">
        <x:v>W_SKIRTS_AVGPAID_1700_1800_ANNUAL2026.xlsx</x:v>
      </x:c>
      <x:c r="R112" s="9" t="str">
        <x:v>默认</x:v>
      </x:c>
      <x:c r="S112" s="9" t="n">
        <x:v>209</x:v>
      </x:c>
      <x:c r="T112" s="9" t="str">
        <x:v>c25ed77c53c7c5cfcf728778a0e9b297d8689503f62756a939cbd534ca9b587a</x:v>
      </x:c>
      <x:c r="U112" s="9" t="str">
        <x:v>W_SKIRTS_AVGPAID_1700_1800_ANNUAL2026</x:v>
      </x:c>
      <x:c r="V112" s="9" t="str">
        <x:v>W_SKIRTS_AVGPAID_1700_1800_ANNUAL2026.xlsx / 默认 / 第209行 / SHA256 c25ed77c53c7c5cfcf728778a0e9b297d8689503f62756a939cbd534ca9b587a</x:v>
      </x:c>
    </x:row>
    <x:row r="113" ht="58" customHeight="1">
      <x:c r="A113" s="23" t="str">
        <x:v>1057484342691</x:v>
      </x:c>
      <x:c r="B113" s="22"/>
      <x:c r="C113" s="22"/>
      <x:c r="D113" s="22"/>
      <x:c r="E113" s="9" t="str">
        <x:v>裙长未明确</x:v>
      </x:c>
      <x:c r="F113" s="9" t="str">
        <x:v>裙装</x:v>
      </x:c>
      <x:c r="G113" s="9" t="str">
        <x:v>半身裙</x:v>
      </x:c>
      <x:c r="H113" s="9" t="str">
        <x:v>女</x:v>
      </x:c>
      <x:c r="I113" s="9" t="str">
        <x:v>BAYBERYL老贝自制十字皮裙*反绒皮直筒开叉显瘦轻盈半身裙</x:v>
      </x:c>
      <x:c r="J113" s="9" t="str">
        <x:v>BAYBERYL</x:v>
      </x:c>
      <x:c r="K113" s="24" t="n">
        <x:v>1386.05</x:v>
      </x:c>
      <x:c r="L113" s="25" t="e">
        <x:f>HYPERLINK("https://item.taobao.com/item.htm?id=1057484342691","打开商品")</x:f>
        <x:v>HYPERLINK is not implemented. linkLocation=https://item.taobao.com/item.htm?id=1057484342691, friendlyName=打开商品</x:v>
      </x:c>
      <x:c r="M113" s="25" t="e">
        <x:f>HYPERLINK("https://data.zhiyitech.cn/itemDetail/overview/base?itemId=1057484342691","打开知衣")</x:f>
        <x:v>HYPERLINK is not implemented. linkLocation=https://data.zhiyitech.cn/itemDetail/overview/base?itemId=1057484342691, friendlyName=打开知衣</x:v>
      </x:c>
      <x:c r="N113" s="25" t="e">
        <x:f>HYPERLINK("https://img.alicdn.com/bao/uploaded/i4/2214207654445/O1CN01CIZ43B46ffH2vH2e_!!2214207654445.jpg","查看主图")</x:f>
        <x:v>HYPERLINK is not implemented. linkLocation=https://img.alicdn.com/bao/uploaded/i4/2214207654445/O1CN01CIZ43B46ffH2vH2e_!!2214207654445.jpg, friendlyName=查看主图</x:v>
      </x:c>
      <x:c r="O113" s="9" t="str">
        <x:v>标题及既有类目语义复核；BAYBERYL老贝自制十字皮裙*反绒皮直筒开叉显瘦轻盈半身裙；原类目及标题已能确认半身裙；展示使用已知大类，未知裙长下沉到结构字段，不强猜长短。</x:v>
      </x:c>
      <x:c r="P113" s="9" t="str">
        <x:v>普通男女装</x:v>
      </x:c>
      <x:c r="Q113" s="9" t="str">
        <x:v>W_SKIRTS_AVGPAID_1300_1400_ANNUAL2026.xlsx</x:v>
      </x:c>
      <x:c r="R113" s="9" t="str">
        <x:v>默认</x:v>
      </x:c>
      <x:c r="S113" s="9" t="n">
        <x:v>399</x:v>
      </x:c>
      <x:c r="T113" s="9" t="str">
        <x:v>bd4dae1e08e9eca7ddd0669235bf59107cdc418b9c2898fc16f36a7ab5748692</x:v>
      </x:c>
      <x:c r="U113" s="9" t="str">
        <x:v>W_SKIRTS_AVGPAID_1300_1400_ANNUAL2026</x:v>
      </x:c>
      <x:c r="V113" s="9" t="str">
        <x:v>W_SKIRTS_AVGPAID_1300_1400_ANNUAL2026.xlsx / 默认 / 第399行 / SHA256 bd4dae1e08e9eca7ddd0669235bf59107cdc418b9c2898fc16f36a7ab5748692</x:v>
      </x:c>
    </x:row>
    <x:row r="114" ht="58" customHeight="1">
      <x:c r="A114" s="23" t="str">
        <x:v>1000375600861</x:v>
      </x:c>
      <x:c r="B114" s="22"/>
      <x:c r="C114" s="22"/>
      <x:c r="D114" s="22"/>
      <x:c r="E114" s="9" t="str">
        <x:v>裙长未明确</x:v>
      </x:c>
      <x:c r="F114" s="9" t="str">
        <x:v>裙装</x:v>
      </x:c>
      <x:c r="G114" s="9" t="str">
        <x:v>半身裙</x:v>
      </x:c>
      <x:c r="H114" s="9" t="str">
        <x:v>女</x:v>
      </x:c>
      <x:c r="I114" s="9" t="str">
        <x:v>【宣璐同款】bebe2026新款女士千金风泡泡裙花苞半裙120209</x:v>
      </x:c>
      <x:c r="J114" s="9" t="str">
        <x:v>BEBE</x:v>
      </x:c>
      <x:c r="K114" s="24" t="n">
        <x:v>1590.36</x:v>
      </x:c>
      <x:c r="L114" s="25" t="e">
        <x:f>HYPERLINK("https://item.taobao.com/item.htm?id=1000375600861","打开商品")</x:f>
        <x:v>HYPERLINK is not implemented. linkLocation=https://item.taobao.com/item.htm?id=1000375600861, friendlyName=打开商品</x:v>
      </x:c>
      <x:c r="M114" s="25" t="e">
        <x:f>HYPERLINK("https://data.zhiyitech.cn/itemDetail/overview/base?itemId=1000375600861","打开知衣")</x:f>
        <x:v>HYPERLINK is not implemented. linkLocation=https://data.zhiyitech.cn/itemDetail/overview/base?itemId=1000375600861, friendlyName=打开知衣</x:v>
      </x:c>
      <x:c r="N114" s="25" t="e">
        <x:f>HYPERLINK("https://img.alicdn.com/bao/uploaded/i1/3362891760/O1CN01R46bxQxL8iI3thOC_!!4611686018427381744-0-item_pic.jpg","查看主图")</x:f>
        <x:v>HYPERLINK is not implemented. linkLocation=https://img.alicdn.com/bao/uploaded/i1/3362891760/O1CN01R46bxQxL8iI3thOC_!!4611686018427381744-0-item_pic.jpg, friendlyName=查看主图</x:v>
      </x:c>
      <x:c r="O114" s="9" t="str">
        <x:v>标题及既有类目语义复核；【宣璐同款】bebe2026新款女士千金风泡泡裙花苞半裙120209；原类目及标题已能确认半身裙；展示使用已知大类，未知裙长下沉到结构字段，不强猜长短。</x:v>
      </x:c>
      <x:c r="P114" s="9" t="str">
        <x:v>普通男女装</x:v>
      </x:c>
      <x:c r="Q114" s="9" t="str">
        <x:v>W_SKIRTS_AVGPAID_1500_1600_ANNUAL2026.xlsx</x:v>
      </x:c>
      <x:c r="R114" s="9" t="str">
        <x:v>默认</x:v>
      </x:c>
      <x:c r="S114" s="9" t="n">
        <x:v>482</x:v>
      </x:c>
      <x:c r="T114" s="9" t="str">
        <x:v>deede8b56943df4f914be45dba170f12e69064023d6ef0e88dbde1764f6ba23e</x:v>
      </x:c>
      <x:c r="U114" s="9" t="str">
        <x:v>W_SKIRTS_AVGPAID_1500_1600_ANNUAL2026</x:v>
      </x:c>
      <x:c r="V114" s="9" t="str">
        <x:v>W_SKIRTS_AVGPAID_1500_1600_ANNUAL2026.xlsx / 默认 / 第482行 / SHA256 deede8b56943df4f914be45dba170f12e69064023d6ef0e88dbde1764f6ba23e</x:v>
      </x:c>
    </x:row>
    <x:row r="115" ht="58" customHeight="1">
      <x:c r="A115" s="23" t="str">
        <x:v>1007591830746</x:v>
      </x:c>
      <x:c r="B115" s="22"/>
      <x:c r="C115" s="22"/>
      <x:c r="D115" s="22"/>
      <x:c r="E115" s="9" t="str">
        <x:v>裙长未明确</x:v>
      </x:c>
      <x:c r="F115" s="9" t="str">
        <x:v>裙装</x:v>
      </x:c>
      <x:c r="G115" s="9" t="str">
        <x:v>半身裙</x:v>
      </x:c>
      <x:c r="H115" s="9" t="str">
        <x:v>女</x:v>
      </x:c>
      <x:c r="I115" s="9" t="str">
        <x:v>bebe2026新款女士含棉牛仔拼接蕾丝千金风半身裙120303</x:v>
      </x:c>
      <x:c r="J115" s="9" t="str">
        <x:v>BEBE</x:v>
      </x:c>
      <x:c r="K115" s="24" t="n">
        <x:v>1331.88</x:v>
      </x:c>
      <x:c r="L115" s="25" t="e">
        <x:f>HYPERLINK("https://item.taobao.com/item.htm?id=1007591830746","打开商品")</x:f>
        <x:v>HYPERLINK is not implemented. linkLocation=https://item.taobao.com/item.htm?id=1007591830746, friendlyName=打开商品</x:v>
      </x:c>
      <x:c r="M115" s="25" t="e">
        <x:f>HYPERLINK("https://data.zhiyitech.cn/itemDetail/overview/base?itemId=1007591830746","打开知衣")</x:f>
        <x:v>HYPERLINK is not implemented. linkLocation=https://data.zhiyitech.cn/itemDetail/overview/base?itemId=1007591830746, friendlyName=打开知衣</x:v>
      </x:c>
      <x:c r="N115" s="25" t="e">
        <x:f>HYPERLINK("https://img.alicdn.com/bao/uploaded/i1/3362891760/O1CN0143uU7zpB5rB3thOC_!!4611686018427381744-0-item_pic.jpg","查看主图")</x:f>
        <x:v>HYPERLINK is not implemented. linkLocation=https://img.alicdn.com/bao/uploaded/i1/3362891760/O1CN0143uU7zpB5rB3thOC_!!4611686018427381744-0-item_pic.jpg, friendlyName=查看主图</x:v>
      </x:c>
      <x:c r="O115" s="9" t="str">
        <x:v>标题及既有类目语义复核；bebe2026新款女士含棉牛仔拼接蕾丝千金风半身裙120303；原类目及标题已能确认半身裙；展示使用已知大类，未知裙长下沉到结构字段，不强猜长短。</x:v>
      </x:c>
      <x:c r="P115" s="9" t="str">
        <x:v>普通男女装</x:v>
      </x:c>
      <x:c r="Q115" s="9" t="str">
        <x:v>W_SKIRTS_AVGPAID_1300_1400_ANNUAL2026.xlsx</x:v>
      </x:c>
      <x:c r="R115" s="9" t="str">
        <x:v>默认</x:v>
      </x:c>
      <x:c r="S115" s="9" t="n">
        <x:v>387</x:v>
      </x:c>
      <x:c r="T115" s="9" t="str">
        <x:v>bd4dae1e08e9eca7ddd0669235bf59107cdc418b9c2898fc16f36a7ab5748692</x:v>
      </x:c>
      <x:c r="U115" s="9" t="str">
        <x:v>W_SKIRTS_AVGPAID_1300_1400_ANNUAL2026</x:v>
      </x:c>
      <x:c r="V115" s="9" t="str">
        <x:v>W_SKIRTS_AVGPAID_1300_1400_ANNUAL2026.xlsx / 默认 / 第387行 / SHA256 bd4dae1e08e9eca7ddd0669235bf59107cdc418b9c2898fc16f36a7ab5748692</x:v>
      </x:c>
    </x:row>
    <x:row r="116" ht="58" customHeight="1">
      <x:c r="A116" s="23" t="str">
        <x:v>1028983550493</x:v>
      </x:c>
      <x:c r="B116" s="22"/>
      <x:c r="C116" s="22"/>
      <x:c r="D116" s="22"/>
      <x:c r="E116" s="9" t="str">
        <x:v>裙长未明确</x:v>
      </x:c>
      <x:c r="F116" s="9" t="str">
        <x:v>裙装</x:v>
      </x:c>
      <x:c r="G116" s="9" t="str">
        <x:v>半身裙</x:v>
      </x:c>
      <x:c r="H116" s="9" t="str">
        <x:v>女</x:v>
      </x:c>
      <x:c r="I116" s="9" t="str">
        <x:v>【H1-KEY-SEOI】bebe2026夏季新款女士千金风包臀半身裙220201</x:v>
      </x:c>
      <x:c r="J116" s="9" t="str">
        <x:v>BEBE</x:v>
      </x:c>
      <x:c r="K116" s="24" t="n">
        <x:v>1355.25</x:v>
      </x:c>
      <x:c r="L116" s="25" t="e">
        <x:f>HYPERLINK("https://item.taobao.com/item.htm?id=1028983550493","打开商品")</x:f>
        <x:v>HYPERLINK is not implemented. linkLocation=https://item.taobao.com/item.htm?id=1028983550493, friendlyName=打开商品</x:v>
      </x:c>
      <x:c r="M116" s="25" t="e">
        <x:f>HYPERLINK("https://data.zhiyitech.cn/itemDetail/overview/base?itemId=1028983550493","打开知衣")</x:f>
        <x:v>HYPERLINK is not implemented. linkLocation=https://data.zhiyitech.cn/itemDetail/overview/base?itemId=1028983550493, friendlyName=打开知衣</x:v>
      </x:c>
      <x:c r="N116" s="25" t="e">
        <x:f>HYPERLINK("https://img.alicdn.com/bao/uploaded/i2/3362891760/O1CN01JoFZdOOmV7G3thOC_!!3362891760.jpg","查看主图")</x:f>
        <x:v>HYPERLINK is not implemented. linkLocation=https://img.alicdn.com/bao/uploaded/i2/3362891760/O1CN01JoFZdOOmV7G3thOC_!!3362891760.jpg, friendlyName=查看主图</x:v>
      </x:c>
      <x:c r="O116" s="9" t="str">
        <x:v>标题及既有类目语义复核；【H1-KEY-SEOI】bebe2026夏季新款女士千金风包臀半身裙220201；原类目及标题已能确认半身裙；展示使用已知大类，未知裙长下沉到结构字段，不强猜长短。</x:v>
      </x:c>
      <x:c r="P116" s="9" t="str">
        <x:v>普通男女装</x:v>
      </x:c>
      <x:c r="Q116" s="9" t="str">
        <x:v>W_SKIRTS_AVGPAID_1300_1400_ANNUAL2026.xlsx</x:v>
      </x:c>
      <x:c r="R116" s="9" t="str">
        <x:v>默认</x:v>
      </x:c>
      <x:c r="S116" s="9" t="n">
        <x:v>470</x:v>
      </x:c>
      <x:c r="T116" s="9" t="str">
        <x:v>bd4dae1e08e9eca7ddd0669235bf59107cdc418b9c2898fc16f36a7ab5748692</x:v>
      </x:c>
      <x:c r="U116" s="9" t="str">
        <x:v>W_SKIRTS_AVGPAID_1300_1400_ANNUAL2026</x:v>
      </x:c>
      <x:c r="V116" s="9" t="str">
        <x:v>W_SKIRTS_AVGPAID_1300_1400_ANNUAL2026.xlsx / 默认 / 第470行 / SHA256 bd4dae1e08e9eca7ddd0669235bf59107cdc418b9c2898fc16f36a7ab5748692</x:v>
      </x:c>
    </x:row>
    <x:row r="117" ht="58" customHeight="1">
      <x:c r="A117" s="23" t="str">
        <x:v>980146146015</x:v>
      </x:c>
      <x:c r="B117" s="22"/>
      <x:c r="C117" s="22"/>
      <x:c r="D117" s="22"/>
      <x:c r="E117" s="9" t="str">
        <x:v>裙长未明确</x:v>
      </x:c>
      <x:c r="F117" s="9" t="str">
        <x:v>裙装</x:v>
      </x:c>
      <x:c r="G117" s="9" t="str">
        <x:v>半身裙</x:v>
      </x:c>
      <x:c r="H117" s="9" t="str">
        <x:v>女</x:v>
      </x:c>
      <x:c r="I117" s="9" t="str">
        <x:v>bebe秋冬女士百搭A型欧式腰带装饰百褶半身裙20205</x:v>
      </x:c>
      <x:c r="J117" s="9" t="str">
        <x:v>BEBE</x:v>
      </x:c>
      <x:c r="K117" s="24" t="n">
        <x:v>1531.93</x:v>
      </x:c>
      <x:c r="L117" s="25" t="e">
        <x:f>HYPERLINK("https://item.taobao.com/item.htm?id=980146146015","打开商品")</x:f>
        <x:v>HYPERLINK is not implemented. linkLocation=https://item.taobao.com/item.htm?id=980146146015, friendlyName=打开商品</x:v>
      </x:c>
      <x:c r="M117" s="25" t="e">
        <x:f>HYPERLINK("https://data.zhiyitech.cn/itemDetail/overview/base?itemId=980146146015","打开知衣")</x:f>
        <x:v>HYPERLINK is not implemented. linkLocation=https://data.zhiyitech.cn/itemDetail/overview/base?itemId=980146146015, friendlyName=打开知衣</x:v>
      </x:c>
      <x:c r="N117" s="25" t="e">
        <x:f>HYPERLINK("https://img.alicdn.com/bao/uploaded/i3/3362891760/O1CN013ax4K9gnyOL3thOC_!!3362891760.jpg","查看主图")</x:f>
        <x:v>HYPERLINK is not implemented. linkLocation=https://img.alicdn.com/bao/uploaded/i3/3362891760/O1CN013ax4K9gnyOL3thOC_!!3362891760.jpg, friendlyName=查看主图</x:v>
      </x:c>
      <x:c r="O117" s="9" t="str">
        <x:v>标题及既有类目语义复核；bebe秋冬女士百搭A型欧式腰带装饰百褶半身裙20205；原类目及标题已能确认半身裙；展示使用已知大类，未知裙长下沉到结构字段，不强猜长短。</x:v>
      </x:c>
      <x:c r="P117" s="9" t="str">
        <x:v>普通男女装</x:v>
      </x:c>
      <x:c r="Q117" s="9" t="str">
        <x:v>W_SKIRTS_AVGPAID_1500_1600_ANNUAL2026.xlsx</x:v>
      </x:c>
      <x:c r="R117" s="9" t="str">
        <x:v>默认</x:v>
      </x:c>
      <x:c r="S117" s="9" t="n">
        <x:v>478</x:v>
      </x:c>
      <x:c r="T117" s="9" t="str">
        <x:v>deede8b56943df4f914be45dba170f12e69064023d6ef0e88dbde1764f6ba23e</x:v>
      </x:c>
      <x:c r="U117" s="9" t="str">
        <x:v>W_SKIRTS_AVGPAID_1500_1600_ANNUAL2026</x:v>
      </x:c>
      <x:c r="V117" s="9" t="str">
        <x:v>W_SKIRTS_AVGPAID_1500_1600_ANNUAL2026.xlsx / 默认 / 第478行 / SHA256 deede8b56943df4f914be45dba170f12e69064023d6ef0e88dbde1764f6ba23e</x:v>
      </x:c>
    </x:row>
    <x:row r="118" ht="58" customHeight="1">
      <x:c r="A118" s="23" t="str">
        <x:v>981538456474</x:v>
      </x:c>
      <x:c r="B118" s="22"/>
      <x:c r="C118" s="22"/>
      <x:c r="D118" s="22"/>
      <x:c r="E118" s="9" t="str">
        <x:v>裙长未明确</x:v>
      </x:c>
      <x:c r="F118" s="9" t="str">
        <x:v>裙装</x:v>
      </x:c>
      <x:c r="G118" s="9" t="str">
        <x:v>半身裙</x:v>
      </x:c>
      <x:c r="H118" s="9" t="str">
        <x:v>女</x:v>
      </x:c>
      <x:c r="I118" s="9" t="str">
        <x:v>bebe秋冬女士经典黑色百搭小A金属色花朵装饰半裙420204</x:v>
      </x:c>
      <x:c r="J118" s="9" t="str">
        <x:v>BEBE</x:v>
      </x:c>
      <x:c r="K118" s="24" t="n">
        <x:v>1573.41</x:v>
      </x:c>
      <x:c r="L118" s="25" t="e">
        <x:f>HYPERLINK("https://item.taobao.com/item.htm?id=981538456474","打开商品")</x:f>
        <x:v>HYPERLINK is not implemented. linkLocation=https://item.taobao.com/item.htm?id=981538456474, friendlyName=打开商品</x:v>
      </x:c>
      <x:c r="M118" s="25" t="e">
        <x:f>HYPERLINK("https://data.zhiyitech.cn/itemDetail/overview/base?itemId=981538456474","打开知衣")</x:f>
        <x:v>HYPERLINK is not implemented. linkLocation=https://data.zhiyitech.cn/itemDetail/overview/base?itemId=981538456474, friendlyName=打开知衣</x:v>
      </x:c>
      <x:c r="N118" s="25" t="e">
        <x:f>HYPERLINK("https://img.alicdn.com/bao/uploaded/i1/3362891760/O1CN01fzrrUmsl7zK3thOC_!!3362891760.jpg","查看主图")</x:f>
        <x:v>HYPERLINK is not implemented. linkLocation=https://img.alicdn.com/bao/uploaded/i1/3362891760/O1CN01fzrrUmsl7zK3thOC_!!3362891760.jpg, friendlyName=查看主图</x:v>
      </x:c>
      <x:c r="O118" s="9" t="str">
        <x:v>标题及既有类目语义复核；bebe秋冬女士经典黑色百搭小A金属色花朵装饰半裙420204；原类目及标题已能确认半身裙；展示使用已知大类，未知裙长下沉到结构字段，不强猜长短。</x:v>
      </x:c>
      <x:c r="P118" s="9" t="str">
        <x:v>普通男女装</x:v>
      </x:c>
      <x:c r="Q118" s="9" t="str">
        <x:v>W_SKIRTS_AVGPAID_1500_1600_ANNUAL2026.xlsx</x:v>
      </x:c>
      <x:c r="R118" s="9" t="str">
        <x:v>默认</x:v>
      </x:c>
      <x:c r="S118" s="9" t="n">
        <x:v>440</x:v>
      </x:c>
      <x:c r="T118" s="9" t="str">
        <x:v>deede8b56943df4f914be45dba170f12e69064023d6ef0e88dbde1764f6ba23e</x:v>
      </x:c>
      <x:c r="U118" s="9" t="str">
        <x:v>W_SKIRTS_AVGPAID_1500_1600_ANNUAL2026</x:v>
      </x:c>
      <x:c r="V118" s="9" t="str">
        <x:v>W_SKIRTS_AVGPAID_1500_1600_ANNUAL2026.xlsx / 默认 / 第440行 / SHA256 deede8b56943df4f914be45dba170f12e69064023d6ef0e88dbde1764f6ba23e</x:v>
      </x:c>
    </x:row>
    <x:row r="119" ht="58" customHeight="1">
      <x:c r="A119" s="23" t="str">
        <x:v>1056704611514</x:v>
      </x:c>
      <x:c r="B119" s="22"/>
      <x:c r="C119" s="22"/>
      <x:c r="D119" s="22"/>
      <x:c r="E119" s="9" t="str">
        <x:v>裙长未明确</x:v>
      </x:c>
      <x:c r="F119" s="9" t="str">
        <x:v>裙装</x:v>
      </x:c>
      <x:c r="G119" s="9" t="str">
        <x:v>半身裙</x:v>
      </x:c>
      <x:c r="H119" s="9" t="str">
        <x:v>女</x:v>
      </x:c>
      <x:c r="I119" s="9" t="str">
        <x:v>BAYBERYL老贝自制 榛巧*全松紧腰A字藏肉羊皮半身裙皮裙</x:v>
      </x:c>
      <x:c r="J119" s="9" t="str">
        <x:v>BERY L GARDEN/贝丽花园</x:v>
      </x:c>
      <x:c r="K119" s="24" t="n">
        <x:v>1569.45</x:v>
      </x:c>
      <x:c r="L119" s="25" t="e">
        <x:f>HYPERLINK("https://item.taobao.com/item.htm?id=1056704611514","打开商品")</x:f>
        <x:v>HYPERLINK is not implemented. linkLocation=https://item.taobao.com/item.htm?id=1056704611514, friendlyName=打开商品</x:v>
      </x:c>
      <x:c r="M119" s="25" t="e">
        <x:f>HYPERLINK("https://data.zhiyitech.cn/itemDetail/overview/base?itemId=1056704611514","打开知衣")</x:f>
        <x:v>HYPERLINK is not implemented. linkLocation=https://data.zhiyitech.cn/itemDetail/overview/base?itemId=1056704611514, friendlyName=打开知衣</x:v>
      </x:c>
      <x:c r="N119" s="25" t="e">
        <x:f>HYPERLINK("https://img.alicdn.com/bao/uploaded/i2/2214207654445/O1CN01YJHBx4hR95H2vH2e_!!2214207654445.jpg","查看主图")</x:f>
        <x:v>HYPERLINK is not implemented. linkLocation=https://img.alicdn.com/bao/uploaded/i2/2214207654445/O1CN01YJHBx4hR95H2vH2e_!!2214207654445.jpg, friendlyName=查看主图</x:v>
      </x:c>
      <x:c r="O119" s="9" t="str">
        <x:v>标题及既有类目语义复核；BAYBERYL老贝自制 榛巧*全松紧腰A字藏肉羊皮半身裙皮裙；原类目及标题已能确认半身裙；展示使用已知大类，未知裙长下沉到结构字段，不强猜长短。</x:v>
      </x:c>
      <x:c r="P119" s="9" t="str">
        <x:v>普通男女装</x:v>
      </x:c>
      <x:c r="Q119" s="9" t="str">
        <x:v>W_SKIRTS_AVGPAID_1500_1600_ANNUAL2026.xlsx</x:v>
      </x:c>
      <x:c r="R119" s="9" t="str">
        <x:v>默认</x:v>
      </x:c>
      <x:c r="S119" s="9" t="n">
        <x:v>279</x:v>
      </x:c>
      <x:c r="T119" s="9" t="str">
        <x:v>deede8b56943df4f914be45dba170f12e69064023d6ef0e88dbde1764f6ba23e</x:v>
      </x:c>
      <x:c r="U119" s="9" t="str">
        <x:v>W_SKIRTS_AVGPAID_1500_1600_ANNUAL2026</x:v>
      </x:c>
      <x:c r="V119" s="9" t="str">
        <x:v>W_SKIRTS_AVGPAID_1500_1600_ANNUAL2026.xlsx / 默认 / 第279行 / SHA256 deede8b56943df4f914be45dba170f12e69064023d6ef0e88dbde1764f6ba23e</x:v>
      </x:c>
    </x:row>
    <x:row r="120" ht="58" customHeight="1">
      <x:c r="A120" s="23" t="str">
        <x:v>1024336031212</x:v>
      </x:c>
      <x:c r="B120" s="22"/>
      <x:c r="C120" s="22"/>
      <x:c r="D120" s="22"/>
      <x:c r="E120" s="9" t="str">
        <x:v>裙长未明确</x:v>
      </x:c>
      <x:c r="F120" s="9" t="str">
        <x:v>裙装</x:v>
      </x:c>
      <x:c r="G120" s="9" t="str">
        <x:v>半身裙</x:v>
      </x:c>
      <x:c r="H120" s="9" t="str">
        <x:v>女</x:v>
      </x:c>
      <x:c r="I120" s="9" t="str">
        <x:v>BibileeStudio 2026夏蕾丝褶皱直筒通勤高级感长半身裙BBL700</x:v>
      </x:c>
      <x:c r="J120" s="9" t="str">
        <x:v>BIBILEE STUDIO</x:v>
      </x:c>
      <x:c r="K120" s="24" t="n">
        <x:v>1773.91</x:v>
      </x:c>
      <x:c r="L120" s="25" t="e">
        <x:f>HYPERLINK("https://item.taobao.com/item.htm?id=1024336031212","打开商品")</x:f>
        <x:v>HYPERLINK is not implemented. linkLocation=https://item.taobao.com/item.htm?id=1024336031212, friendlyName=打开商品</x:v>
      </x:c>
      <x:c r="M120" s="25" t="e">
        <x:f>HYPERLINK("https://data.zhiyitech.cn/itemDetail/overview/base?itemId=1024336031212","打开知衣")</x:f>
        <x:v>HYPERLINK is not implemented. linkLocation=https://data.zhiyitech.cn/itemDetail/overview/base?itemId=1024336031212, friendlyName=打开知衣</x:v>
      </x:c>
      <x:c r="N120" s="25" t="e">
        <x:f>HYPERLINK("https://img.alicdn.com/bao/uploaded/i2/2212657534611/O1CN01zQQseG1jvtNrhupXc_!!4611686018427385491-0-item_pic.jpg","查看主图")</x:f>
        <x:v>HYPERLINK is not implemented. linkLocation=https://img.alicdn.com/bao/uploaded/i2/2212657534611/O1CN01zQQseG1jvtNrhupXc_!!4611686018427385491-0-item_pic.jpg, friendlyName=查看主图</x:v>
      </x:c>
      <x:c r="O120" s="9" t="str">
        <x:v>标题及既有类目语义复核；BibileeStudio 2026夏蕾丝褶皱直筒通勤高级感长半身裙BBL700；原类目及标题已能确认半身裙；展示使用已知大类，未知裙长下沉到结构字段，不强猜长短。</x:v>
      </x:c>
      <x:c r="P120" s="9" t="str">
        <x:v>普通男女装</x:v>
      </x:c>
      <x:c r="Q120" s="9" t="str">
        <x:v>W_SKIRTS_AVGPAID_1700_1800_ANNUAL2026.xlsx</x:v>
      </x:c>
      <x:c r="R120" s="9" t="str">
        <x:v>默认</x:v>
      </x:c>
      <x:c r="S120" s="9" t="n">
        <x:v>246</x:v>
      </x:c>
      <x:c r="T120" s="9" t="str">
        <x:v>c25ed77c53c7c5cfcf728778a0e9b297d8689503f62756a939cbd534ca9b587a</x:v>
      </x:c>
      <x:c r="U120" s="9" t="str">
        <x:v>W_SKIRTS_AVGPAID_1700_1800_ANNUAL2026</x:v>
      </x:c>
      <x:c r="V120" s="9" t="str">
        <x:v>W_SKIRTS_AVGPAID_1700_1800_ANNUAL2026.xlsx / 默认 / 第246行 / SHA256 c25ed77c53c7c5cfcf728778a0e9b297d8689503f62756a939cbd534ca9b587a</x:v>
      </x:c>
    </x:row>
    <x:row r="121" ht="58" customHeight="1">
      <x:c r="A121" s="23" t="str">
        <x:v>765591160498</x:v>
      </x:c>
      <x:c r="B121" s="22"/>
      <x:c r="C121" s="22"/>
      <x:c r="D121" s="22"/>
      <x:c r="E121" s="9" t="str">
        <x:v>裙长未明确</x:v>
      </x:c>
      <x:c r="F121" s="9" t="str">
        <x:v>裙装</x:v>
      </x:c>
      <x:c r="G121" s="9" t="str">
        <x:v>半身裙</x:v>
      </x:c>
      <x:c r="H121" s="9" t="str">
        <x:v>女</x:v>
      </x:c>
      <x:c r="I121" s="9" t="str">
        <x:v>赵昭仪同款BIBILEE STUDIO通勤度假约会重工立体花半身裙BBL330</x:v>
      </x:c>
      <x:c r="J121" s="9" t="str">
        <x:v>BIBILEE STUDIO</x:v>
      </x:c>
      <x:c r="K121" s="24" t="n">
        <x:v>1771.82</x:v>
      </x:c>
      <x:c r="L121" s="25" t="e">
        <x:f>HYPERLINK("https://item.taobao.com/item.htm?id=765591160498","打开商品")</x:f>
        <x:v>HYPERLINK is not implemented. linkLocation=https://item.taobao.com/item.htm?id=765591160498, friendlyName=打开商品</x:v>
      </x:c>
      <x:c r="M121" s="25" t="e">
        <x:f>HYPERLINK("https://data.zhiyitech.cn/itemDetail/overview/base?itemId=765591160498","打开知衣")</x:f>
        <x:v>HYPERLINK is not implemented. linkLocation=https://data.zhiyitech.cn/itemDetail/overview/base?itemId=765591160498, friendlyName=打开知衣</x:v>
      </x:c>
      <x:c r="N121" s="25" t="e">
        <x:f>HYPERLINK("https://img.alicdn.com/bao/uploaded/i4/2212657534611/O1CN01KIwPpO1jvtBNUb2tC_!!0-item_pic.jpg","查看主图")</x:f>
        <x:v>HYPERLINK is not implemented. linkLocation=https://img.alicdn.com/bao/uploaded/i4/2212657534611/O1CN01KIwPpO1jvtBNUb2tC_!!0-item_pic.jpg, friendlyName=查看主图</x:v>
      </x:c>
      <x:c r="O121" s="9" t="str">
        <x:v>标题及既有类目语义复核；赵昭仪同款BIBILEE STUDIO通勤度假约会重工立体花半身裙BBL330；原类目及标题已能确认半身裙；展示使用已知大类，未知裙长下沉到结构字段，不强猜长短。</x:v>
      </x:c>
      <x:c r="P121" s="9" t="str">
        <x:v>普通男女装</x:v>
      </x:c>
      <x:c r="Q121" s="9" t="str">
        <x:v>W_SKIRTS_AVGPAID_1700_1800_ANNUAL2026.xlsx</x:v>
      </x:c>
      <x:c r="R121" s="9" t="str">
        <x:v>默认</x:v>
      </x:c>
      <x:c r="S121" s="9" t="n">
        <x:v>178</x:v>
      </x:c>
      <x:c r="T121" s="9" t="str">
        <x:v>c25ed77c53c7c5cfcf728778a0e9b297d8689503f62756a939cbd534ca9b587a</x:v>
      </x:c>
      <x:c r="U121" s="9" t="str">
        <x:v>W_SKIRTS_AVGPAID_1700_1800_ANNUAL2026</x:v>
      </x:c>
      <x:c r="V121" s="9" t="str">
        <x:v>W_SKIRTS_AVGPAID_1700_1800_ANNUAL2026.xlsx / 默认 / 第178行 / SHA256 c25ed77c53c7c5cfcf728778a0e9b297d8689503f62756a939cbd534ca9b587a</x:v>
      </x:c>
    </x:row>
    <x:row r="122" ht="58" customHeight="1">
      <x:c r="A122" s="23" t="str">
        <x:v>831427471833</x:v>
      </x:c>
      <x:c r="B122" s="22"/>
      <x:c r="C122" s="22"/>
      <x:c r="D122" s="22"/>
      <x:c r="E122" s="9" t="str">
        <x:v>裙长未明确</x:v>
      </x:c>
      <x:c r="F122" s="9" t="str">
        <x:v>裙装</x:v>
      </x:c>
      <x:c r="G122" s="9" t="str">
        <x:v>半身裙</x:v>
      </x:c>
      <x:c r="H122" s="9" t="str">
        <x:v>女</x:v>
      </x:c>
      <x:c r="I122" s="9" t="str">
        <x:v>【BIBILEE STUDIO设计师品牌】羽织花荷叶不规则半裙BBL424</x:v>
      </x:c>
      <x:c r="J122" s="9" t="str">
        <x:v>BIBILEE STUDIO</x:v>
      </x:c>
      <x:c r="K122" s="24" t="n">
        <x:v>1792.56</x:v>
      </x:c>
      <x:c r="L122" s="25" t="e">
        <x:f>HYPERLINK("https://item.taobao.com/item.htm?id=831427471833","打开商品")</x:f>
        <x:v>HYPERLINK is not implemented. linkLocation=https://item.taobao.com/item.htm?id=831427471833, friendlyName=打开商品</x:v>
      </x:c>
      <x:c r="M122" s="25" t="e">
        <x:f>HYPERLINK("https://data.zhiyitech.cn/itemDetail/overview/base?itemId=831427471833","打开知衣")</x:f>
        <x:v>HYPERLINK is not implemented. linkLocation=https://data.zhiyitech.cn/itemDetail/overview/base?itemId=831427471833, friendlyName=打开知衣</x:v>
      </x:c>
      <x:c r="N122" s="25" t="e">
        <x:f>HYPERLINK("https://img.alicdn.com/bao/uploaded/i3/2212657534611/O1CN01okXJUj1jvtFM0c0cM_!!0-item_pic.jpg","查看主图")</x:f>
        <x:v>HYPERLINK is not implemented. linkLocation=https://img.alicdn.com/bao/uploaded/i3/2212657534611/O1CN01okXJUj1jvtFM0c0cM_!!0-item_pic.jpg, friendlyName=查看主图</x:v>
      </x:c>
      <x:c r="O122" s="9" t="str">
        <x:v>标题及既有类目语义复核；【BIBILEE STUDIO设计师品牌】羽织花荷叶不规则半裙BBL424；原类目及标题已能确认半身裙；展示使用已知大类，未知裙长下沉到结构字段，不强猜长短。</x:v>
      </x:c>
      <x:c r="P122" s="9" t="str">
        <x:v>普通男女装</x:v>
      </x:c>
      <x:c r="Q122" s="9" t="str">
        <x:v>W_SKIRTS_AVGPAID_1700_1800_ANNUAL2026.xlsx</x:v>
      </x:c>
      <x:c r="R122" s="9" t="str">
        <x:v>默认</x:v>
      </x:c>
      <x:c r="S122" s="9" t="n">
        <x:v>427</x:v>
      </x:c>
      <x:c r="T122" s="9" t="str">
        <x:v>c25ed77c53c7c5cfcf728778a0e9b297d8689503f62756a939cbd534ca9b587a</x:v>
      </x:c>
      <x:c r="U122" s="9" t="str">
        <x:v>W_SKIRTS_AVGPAID_1700_1800_ANNUAL2026</x:v>
      </x:c>
      <x:c r="V122" s="9" t="str">
        <x:v>W_SKIRTS_AVGPAID_1700_1800_ANNUAL2026.xlsx / 默认 / 第427行 / SHA256 c25ed77c53c7c5cfcf728778a0e9b297d8689503f62756a939cbd534ca9b587a</x:v>
      </x:c>
    </x:row>
    <x:row r="123" ht="58" customHeight="1">
      <x:c r="A123" s="23" t="str">
        <x:v>902049921319</x:v>
      </x:c>
      <x:c r="B123" s="22"/>
      <x:c r="C123" s="22"/>
      <x:c r="D123" s="22"/>
      <x:c r="E123" s="9" t="str">
        <x:v>裙长未明确</x:v>
      </x:c>
      <x:c r="F123" s="9" t="str">
        <x:v>裙装</x:v>
      </x:c>
      <x:c r="G123" s="9" t="str">
        <x:v>半身裙</x:v>
      </x:c>
      <x:c r="H123" s="9" t="str">
        <x:v>女</x:v>
      </x:c>
      <x:c r="I123" s="9" t="str">
        <x:v>Blacknini"链条皮裙"皮穿链拼接绵羊皮菱格压纹香风半身裙</x:v>
      </x:c>
      <x:c r="J123" s="9" t="str">
        <x:v>BLACKNINI</x:v>
      </x:c>
      <x:c r="K123" s="24" t="n">
        <x:v>1516.92</x:v>
      </x:c>
      <x:c r="L123" s="25" t="e">
        <x:f>HYPERLINK("https://item.taobao.com/item.htm?id=902049921319","打开商品")</x:f>
        <x:v>HYPERLINK is not implemented. linkLocation=https://item.taobao.com/item.htm?id=902049921319, friendlyName=打开商品</x:v>
      </x:c>
      <x:c r="M123" s="25" t="e">
        <x:f>HYPERLINK("https://data.zhiyitech.cn/itemDetail/overview/base?itemId=902049921319","打开知衣")</x:f>
        <x:v>HYPERLINK is not implemented. linkLocation=https://data.zhiyitech.cn/itemDetail/overview/base?itemId=902049921319, friendlyName=打开知衣</x:v>
      </x:c>
      <x:c r="N123" s="25" t="e">
        <x:f>HYPERLINK("https://img.alicdn.com/bao/uploaded/i3/2214918374640/O1CN014LuVLjk022J2AJok-2214918374640.jpg","查看主图")</x:f>
        <x:v>HYPERLINK is not implemented. linkLocation=https://img.alicdn.com/bao/uploaded/i3/2214918374640/O1CN014LuVLjk022J2AJok-2214918374640.jpg, friendlyName=查看主图</x:v>
      </x:c>
      <x:c r="O123" s="9" t="str">
        <x:v>标题及既有类目语义复核；Blacknini"链条皮裙"皮穿链拼接绵羊皮菱格压纹香风半身裙；原类目及标题已能确认半身裙；展示使用已知大类，未知裙长下沉到结构字段，不强猜长短。</x:v>
      </x:c>
      <x:c r="P123" s="9" t="str">
        <x:v>普通男女装</x:v>
      </x:c>
      <x:c r="Q123" s="9" t="str">
        <x:v>W_SKIRTS_AVGPAID_1500_1600_ANNUAL2026.xlsx</x:v>
      </x:c>
      <x:c r="R123" s="9" t="str">
        <x:v>默认</x:v>
      </x:c>
      <x:c r="S123" s="9" t="n">
        <x:v>44</x:v>
      </x:c>
      <x:c r="T123" s="9" t="str">
        <x:v>deede8b56943df4f914be45dba170f12e69064023d6ef0e88dbde1764f6ba23e</x:v>
      </x:c>
      <x:c r="U123" s="9" t="str">
        <x:v>W_SKIRTS_AVGPAID_1500_1600_ANNUAL2026</x:v>
      </x:c>
      <x:c r="V123" s="9" t="str">
        <x:v>W_SKIRTS_AVGPAID_1500_1600_ANNUAL2026.xlsx / 默认 / 第44行 / SHA256 deede8b56943df4f914be45dba170f12e69064023d6ef0e88dbde1764f6ba23e</x:v>
      </x:c>
    </x:row>
    <x:row r="124" ht="58" customHeight="1">
      <x:c r="A124" s="23" t="str">
        <x:v>1025314047079</x:v>
      </x:c>
      <x:c r="B124" s="22"/>
      <x:c r="C124" s="22"/>
      <x:c r="D124" s="22"/>
      <x:c r="E124" s="9" t="str">
        <x:v>裙长未明确</x:v>
      </x:c>
      <x:c r="F124" s="9" t="str">
        <x:v>裙装</x:v>
      </x:c>
      <x:c r="G124" s="9" t="str">
        <x:v>半身裙</x:v>
      </x:c>
      <x:c r="H124" s="9" t="str">
        <x:v>女</x:v>
      </x:c>
      <x:c r="I124" s="9" t="str">
        <x:v>【大乐严选】BLUE ERDOS春季通勤A字简约全棉牛仔鱼尾裙半身裙女</x:v>
      </x:c>
      <x:c r="J124" s="9" t="str">
        <x:v>BLUE ERDOS</x:v>
      </x:c>
      <x:c r="K124" s="24" t="n">
        <x:v>1390</x:v>
      </x:c>
      <x:c r="L124" s="25" t="e">
        <x:f>HYPERLINK("https://item.taobao.com/item.htm?id=1025314047079","打开商品")</x:f>
        <x:v>HYPERLINK is not implemented. linkLocation=https://item.taobao.com/item.htm?id=1025314047079, friendlyName=打开商品</x:v>
      </x:c>
      <x:c r="M124" s="25" t="e">
        <x:f>HYPERLINK("https://data.zhiyitech.cn/itemDetail/overview/base?itemId=1025314047079","打开知衣")</x:f>
        <x:v>HYPERLINK is not implemented. linkLocation=https://data.zhiyitech.cn/itemDetail/overview/base?itemId=1025314047079, friendlyName=打开知衣</x:v>
      </x:c>
      <x:c r="N124" s="25" t="e">
        <x:f>HYPERLINK("https://img.alicdn.com/bao/uploaded/i2/3190949915/O1CN01eZQOwn2N787LPXnvp_!!4611686018427381787-2-item_pic.png","查看主图")</x:f>
        <x:v>HYPERLINK is not implemented. linkLocation=https://img.alicdn.com/bao/uploaded/i2/3190949915/O1CN01eZQOwn2N787LPXnvp_!!4611686018427381787-2-item_pic.png, friendlyName=查看主图</x:v>
      </x:c>
      <x:c r="O124" s="9" t="str">
        <x:v>标题及既有类目语义复核；【大乐严选】BLUE ERDOS春季通勤A字简约全棉牛仔鱼尾裙半身裙女；原类目及标题已能确认半身裙；展示使用已知大类，未知裙长下沉到结构字段，不强猜长短。</x:v>
      </x:c>
      <x:c r="P124" s="9" t="str">
        <x:v>普通男女装</x:v>
      </x:c>
      <x:c r="Q124" s="9" t="str">
        <x:v>W_SKIRTS_AVGPAID_1300_1400_ANNUAL2026.xlsx</x:v>
      </x:c>
      <x:c r="R124" s="9" t="str">
        <x:v>默认</x:v>
      </x:c>
      <x:c r="S124" s="9" t="n">
        <x:v>462</x:v>
      </x:c>
      <x:c r="T124" s="9" t="str">
        <x:v>bd4dae1e08e9eca7ddd0669235bf59107cdc418b9c2898fc16f36a7ab5748692</x:v>
      </x:c>
      <x:c r="U124" s="9" t="str">
        <x:v>W_SKIRTS_AVGPAID_1300_1400_ANNUAL2026</x:v>
      </x:c>
      <x:c r="V124" s="9" t="str">
        <x:v>W_SKIRTS_AVGPAID_1300_1400_ANNUAL2026.xlsx / 默认 / 第462行 / SHA256 bd4dae1e08e9eca7ddd0669235bf59107cdc418b9c2898fc16f36a7ab5748692</x:v>
      </x:c>
    </x:row>
    <x:row r="125" ht="58" customHeight="1">
      <x:c r="A125" s="23" t="str">
        <x:v>1044091302426</x:v>
      </x:c>
      <x:c r="B125" s="22"/>
      <x:c r="C125" s="22"/>
      <x:c r="D125" s="22"/>
      <x:c r="E125" s="9" t="str">
        <x:v>裙长未明确</x:v>
      </x:c>
      <x:c r="F125" s="9" t="str">
        <x:v>裙装</x:v>
      </x:c>
      <x:c r="G125" s="9" t="str">
        <x:v>半身裙</x:v>
      </x:c>
      <x:c r="H125" s="9" t="str">
        <x:v>女</x:v>
      </x:c>
      <x:c r="I125" s="9" t="str">
        <x:v>【100%棉】BLUE ERDOS2026夏季新品简约松弛感镂空刺绣A字半身裙</x:v>
      </x:c>
      <x:c r="J125" s="9" t="str">
        <x:v>BLUE ERDOS</x:v>
      </x:c>
      <x:c r="K125" s="24" t="n">
        <x:v>1340.19</x:v>
      </x:c>
      <x:c r="L125" s="25" t="e">
        <x:f>HYPERLINK("https://item.taobao.com/item.htm?id=1044091302426","打开商品")</x:f>
        <x:v>HYPERLINK is not implemented. linkLocation=https://item.taobao.com/item.htm?id=1044091302426, friendlyName=打开商品</x:v>
      </x:c>
      <x:c r="M125" s="25" t="e">
        <x:f>HYPERLINK("https://data.zhiyitech.cn/itemDetail/overview/base?itemId=1044091302426","打开知衣")</x:f>
        <x:v>HYPERLINK is not implemented. linkLocation=https://data.zhiyitech.cn/itemDetail/overview/base?itemId=1044091302426, friendlyName=打开知衣</x:v>
      </x:c>
      <x:c r="N125" s="25" t="e">
        <x:f>HYPERLINK("https://img.alicdn.com/bao/uploaded/i1/3190949915/O1CN01fS8kmwLNuWI1chua_!!3190949915.jpg","查看主图")</x:f>
        <x:v>HYPERLINK is not implemented. linkLocation=https://img.alicdn.com/bao/uploaded/i1/3190949915/O1CN01fS8kmwLNuWI1chua_!!3190949915.jpg, friendlyName=查看主图</x:v>
      </x:c>
      <x:c r="O125" s="9" t="str">
        <x:v>标题及既有类目语义复核；【100%棉】BLUE ERDOS2026夏季新品简约松弛感镂空刺绣A字半身裙；原类目及标题已能确认半身裙；展示使用已知大类，未知裙长下沉到结构字段，不强猜长短。</x:v>
      </x:c>
      <x:c r="P125" s="9" t="str">
        <x:v>普通男女装</x:v>
      </x:c>
      <x:c r="Q125" s="9" t="str">
        <x:v>W_SKIRTS_AVGPAID_1300_1400_ANNUAL2026.xlsx</x:v>
      </x:c>
      <x:c r="R125" s="9" t="str">
        <x:v>默认</x:v>
      </x:c>
      <x:c r="S125" s="9" t="n">
        <x:v>158</x:v>
      </x:c>
      <x:c r="T125" s="9" t="str">
        <x:v>bd4dae1e08e9eca7ddd0669235bf59107cdc418b9c2898fc16f36a7ab5748692</x:v>
      </x:c>
      <x:c r="U125" s="9" t="str">
        <x:v>W_SKIRTS_AVGPAID_1300_1400_ANNUAL2026</x:v>
      </x:c>
      <x:c r="V125" s="9" t="str">
        <x:v>W_SKIRTS_AVGPAID_1300_1400_ANNUAL2026.xlsx / 默认 / 第158行 / SHA256 bd4dae1e08e9eca7ddd0669235bf59107cdc418b9c2898fc16f36a7ab5748692</x:v>
      </x:c>
    </x:row>
    <x:row r="126" ht="58" customHeight="1">
      <x:c r="A126" s="23" t="str">
        <x:v>1044091558022</x:v>
      </x:c>
      <x:c r="B126" s="22"/>
      <x:c r="C126" s="22"/>
      <x:c r="D126" s="22"/>
      <x:c r="E126" s="9" t="str">
        <x:v>裙长未明确</x:v>
      </x:c>
      <x:c r="F126" s="9" t="str">
        <x:v>裙装</x:v>
      </x:c>
      <x:c r="G126" s="9" t="str">
        <x:v>半身裙</x:v>
      </x:c>
      <x:c r="H126" s="9" t="str">
        <x:v>女</x:v>
      </x:c>
      <x:c r="I126" s="9" t="str">
        <x:v>BLUE ERDOS2026夏季新品温柔复古宫廷风刺绣蕾丝拼接蛋糕半身裙</x:v>
      </x:c>
      <x:c r="J126" s="9" t="str">
        <x:v>BLUE ERDOS</x:v>
      </x:c>
      <x:c r="K126" s="24" t="n">
        <x:v>1322.7</x:v>
      </x:c>
      <x:c r="L126" s="25" t="e">
        <x:f>HYPERLINK("https://item.taobao.com/item.htm?id=1044091558022","打开商品")</x:f>
        <x:v>HYPERLINK is not implemented. linkLocation=https://item.taobao.com/item.htm?id=1044091558022, friendlyName=打开商品</x:v>
      </x:c>
      <x:c r="M126" s="25" t="e">
        <x:f>HYPERLINK("https://data.zhiyitech.cn/itemDetail/overview/base?itemId=1044091558022","打开知衣")</x:f>
        <x:v>HYPERLINK is not implemented. linkLocation=https://data.zhiyitech.cn/itemDetail/overview/base?itemId=1044091558022, friendlyName=打开知衣</x:v>
      </x:c>
      <x:c r="N126" s="25" t="e">
        <x:f>HYPERLINK("https://img.alicdn.com/bao/uploaded/i3/3190949915/O1CN01QQAx7DORsrE1chua_!!3190949915.jpg","查看主图")</x:f>
        <x:v>HYPERLINK is not implemented. linkLocation=https://img.alicdn.com/bao/uploaded/i3/3190949915/O1CN01QQAx7DORsrE1chua_!!3190949915.jpg, friendlyName=查看主图</x:v>
      </x:c>
      <x:c r="O126" s="9" t="str">
        <x:v>标题及既有类目语义复核；BLUE ERDOS2026夏季新品温柔复古宫廷风刺绣蕾丝拼接蛋糕半身裙；原类目及标题已能确认半身裙；展示使用已知大类，未知裙长下沉到结构字段，不强猜长短。</x:v>
      </x:c>
      <x:c r="P126" s="9" t="str">
        <x:v>普通男女装</x:v>
      </x:c>
      <x:c r="Q126" s="9" t="str">
        <x:v>W_SKIRTS_AVGPAID_1300_1400_ANNUAL2026.xlsx</x:v>
      </x:c>
      <x:c r="R126" s="9" t="str">
        <x:v>默认</x:v>
      </x:c>
      <x:c r="S126" s="9" t="n">
        <x:v>136</x:v>
      </x:c>
      <x:c r="T126" s="9" t="str">
        <x:v>bd4dae1e08e9eca7ddd0669235bf59107cdc418b9c2898fc16f36a7ab5748692</x:v>
      </x:c>
      <x:c r="U126" s="9" t="str">
        <x:v>W_SKIRTS_AVGPAID_1300_1400_ANNUAL2026</x:v>
      </x:c>
      <x:c r="V126" s="9" t="str">
        <x:v>W_SKIRTS_AVGPAID_1300_1400_ANNUAL2026.xlsx / 默认 / 第136行 / SHA256 bd4dae1e08e9eca7ddd0669235bf59107cdc418b9c2898fc16f36a7ab5748692</x:v>
      </x:c>
    </x:row>
    <x:row r="127" ht="58" customHeight="1">
      <x:c r="A127" s="23" t="str">
        <x:v>1057729114710</x:v>
      </x:c>
      <x:c r="B127" s="22"/>
      <x:c r="C127" s="22"/>
      <x:c r="D127" s="22"/>
      <x:c r="E127" s="9" t="str">
        <x:v>裙长未明确</x:v>
      </x:c>
      <x:c r="F127" s="9" t="str">
        <x:v>裙装</x:v>
      </x:c>
      <x:c r="G127" s="9" t="str">
        <x:v>半身裙</x:v>
      </x:c>
      <x:c r="H127" s="9" t="str">
        <x:v>女</x:v>
      </x:c>
      <x:c r="I127" s="9" t="str">
        <x:v>5号 BLUE ERDOS2026春夏</x:v>
      </x:c>
      <x:c r="J127" s="9" t="str">
        <x:v>BLUE ERDOS</x:v>
      </x:c>
      <x:c r="K127" s="24" t="n">
        <x:v>1588.77</x:v>
      </x:c>
      <x:c r="L127" s="25" t="e">
        <x:f>HYPERLINK("https://item.taobao.com/item.htm?id=1057729114710","打开商品")</x:f>
        <x:v>HYPERLINK is not implemented. linkLocation=https://item.taobao.com/item.htm?id=1057729114710, friendlyName=打开商品</x:v>
      </x:c>
      <x:c r="M127" s="25" t="e">
        <x:f>HYPERLINK("https://data.zhiyitech.cn/itemDetail/overview/base?itemId=1057729114710","打开知衣")</x:f>
        <x:v>HYPERLINK is not implemented. linkLocation=https://data.zhiyitech.cn/itemDetail/overview/base?itemId=1057729114710, friendlyName=打开知衣</x:v>
      </x:c>
      <x:c r="N127" s="25" t="e">
        <x:f>HYPERLINK("https://img.alicdn.com/bao/uploaded/i2/3190949915/O1CN01dGMnmb2N788hPxAf4_!!4611686018427381787-2-item_pic.png","查看主图")</x:f>
        <x:v>HYPERLINK is not implemented. linkLocation=https://img.alicdn.com/bao/uploaded/i2/3190949915/O1CN01dGMnmb2N788hPxAf4_!!4611686018427381787-2-item_pic.png, friendlyName=查看主图</x:v>
      </x:c>
      <x:c r="O127" s="9" t="str">
        <x:v>标题及既有类目语义复核；5号 BLUE ERDOS2026春夏；原类目及标题已能确认半身裙；展示使用已知大类，未知裙长下沉到结构字段，不强猜长短。</x:v>
      </x:c>
      <x:c r="P127" s="9" t="str">
        <x:v>普通男女装</x:v>
      </x:c>
      <x:c r="Q127" s="9" t="str">
        <x:v>W_SKIRTS_AVGPAID_1500_1600_ANNUAL2026.xlsx</x:v>
      </x:c>
      <x:c r="R127" s="9" t="str">
        <x:v>默认</x:v>
      </x:c>
      <x:c r="S127" s="9" t="n">
        <x:v>37</x:v>
      </x:c>
      <x:c r="T127" s="9" t="str">
        <x:v>deede8b56943df4f914be45dba170f12e69064023d6ef0e88dbde1764f6ba23e</x:v>
      </x:c>
      <x:c r="U127" s="9" t="str">
        <x:v>W_SKIRTS_AVGPAID_1500_1600_ANNUAL2026</x:v>
      </x:c>
      <x:c r="V127" s="9" t="str">
        <x:v>W_SKIRTS_AVGPAID_1500_1600_ANNUAL2026.xlsx / 默认 / 第37行 / SHA256 deede8b56943df4f914be45dba170f12e69064023d6ef0e88dbde1764f6ba23e</x:v>
      </x:c>
    </x:row>
    <x:row r="128" ht="58" customHeight="1">
      <x:c r="A128" s="23" t="str">
        <x:v>1058720889515</x:v>
      </x:c>
      <x:c r="B128" s="22"/>
      <x:c r="C128" s="22"/>
      <x:c r="D128" s="22"/>
      <x:c r="E128" s="9" t="str">
        <x:v>裙长未明确</x:v>
      </x:c>
      <x:c r="F128" s="9" t="str">
        <x:v>裙装</x:v>
      </x:c>
      <x:c r="G128" s="9" t="str">
        <x:v>半身裙</x:v>
      </x:c>
      <x:c r="H128" s="9" t="str">
        <x:v>女</x:v>
      </x:c>
      <x:c r="I128" s="9" t="str">
        <x:v>热门 BLUE ERDOS2026春夏</x:v>
      </x:c>
      <x:c r="J128" s="9" t="str">
        <x:v>BLUE ERDOS</x:v>
      </x:c>
      <x:c r="K128" s="24" t="n">
        <x:v>1790</x:v>
      </x:c>
      <x:c r="L128" s="25" t="e">
        <x:f>HYPERLINK("https://item.taobao.com/item.htm?id=1058720889515","打开商品")</x:f>
        <x:v>HYPERLINK is not implemented. linkLocation=https://item.taobao.com/item.htm?id=1058720889515, friendlyName=打开商品</x:v>
      </x:c>
      <x:c r="M128" s="25" t="e">
        <x:f>HYPERLINK("https://data.zhiyitech.cn/itemDetail/overview/base?itemId=1058720889515","打开知衣")</x:f>
        <x:v>HYPERLINK is not implemented. linkLocation=https://data.zhiyitech.cn/itemDetail/overview/base?itemId=1058720889515, friendlyName=打开知衣</x:v>
      </x:c>
      <x:c r="N128" s="25" t="e">
        <x:f>HYPERLINK("https://img.alicdn.com/bao/uploaded/i1/3190949915/O1CN01le7SpU2N788aOV9DF_!!4611686018427381787-0-item_pic.jpg","查看主图")</x:f>
        <x:v>HYPERLINK is not implemented. linkLocation=https://img.alicdn.com/bao/uploaded/i1/3190949915/O1CN01le7SpU2N788aOV9DF_!!4611686018427381787-0-item_pic.jpg, friendlyName=查看主图</x:v>
      </x:c>
      <x:c r="O128" s="9" t="str">
        <x:v>标题及既有类目语义复核；热门 BLUE ERDOS2026春夏；原类目及标题已能确认半身裙；展示使用已知大类，未知裙长下沉到结构字段，不强猜长短。</x:v>
      </x:c>
      <x:c r="P128" s="9" t="str">
        <x:v>普通男女装</x:v>
      </x:c>
      <x:c r="Q128" s="9" t="str">
        <x:v>W_SKIRTS_AVGPAID_1700_1800_ANNUAL2026.xlsx</x:v>
      </x:c>
      <x:c r="R128" s="9" t="str">
        <x:v>默认</x:v>
      </x:c>
      <x:c r="S128" s="9" t="n">
        <x:v>35</x:v>
      </x:c>
      <x:c r="T128" s="9" t="str">
        <x:v>c25ed77c53c7c5cfcf728778a0e9b297d8689503f62756a939cbd534ca9b587a</x:v>
      </x:c>
      <x:c r="U128" s="9" t="str">
        <x:v>W_SKIRTS_AVGPAID_1700_1800_ANNUAL2026</x:v>
      </x:c>
      <x:c r="V128" s="9" t="str">
        <x:v>W_SKIRTS_AVGPAID_1700_1800_ANNUAL2026.xlsx / 默认 / 第35行 / SHA256 c25ed77c53c7c5cfcf728778a0e9b297d8689503f62756a939cbd534ca9b587a</x:v>
      </x:c>
    </x:row>
    <x:row r="129" ht="58" customHeight="1">
      <x:c r="A129" s="23" t="str">
        <x:v>821167912671</x:v>
      </x:c>
      <x:c r="B129" s="22"/>
      <x:c r="C129" s="22"/>
      <x:c r="D129" s="22"/>
      <x:c r="E129" s="9" t="str">
        <x:v>裙长未明确</x:v>
      </x:c>
      <x:c r="F129" s="9" t="str">
        <x:v>裙装</x:v>
      </x:c>
      <x:c r="G129" s="9" t="str">
        <x:v>半身裙</x:v>
      </x:c>
      <x:c r="H129" s="9" t="str">
        <x:v>女</x:v>
      </x:c>
      <x:c r="I129" s="9" t="str">
        <x:v>BLUE ERDOS秋季高智感通勤A型弹力羊绒毛呢半裙B246C0003</x:v>
      </x:c>
      <x:c r="J129" s="9" t="str">
        <x:v>BLUE ERDOS</x:v>
      </x:c>
      <x:c r="K129" s="24" t="n">
        <x:v>1378.18</x:v>
      </x:c>
      <x:c r="L129" s="25" t="e">
        <x:f>HYPERLINK("https://item.taobao.com/item.htm?id=821167912671","打开商品")</x:f>
        <x:v>HYPERLINK is not implemented. linkLocation=https://item.taobao.com/item.htm?id=821167912671, friendlyName=打开商品</x:v>
      </x:c>
      <x:c r="M129" s="25" t="e">
        <x:f>HYPERLINK("https://data.zhiyitech.cn/itemDetail/overview/base?itemId=821167912671","打开知衣")</x:f>
        <x:v>HYPERLINK is not implemented. linkLocation=https://data.zhiyitech.cn/itemDetail/overview/base?itemId=821167912671, friendlyName=打开知衣</x:v>
      </x:c>
      <x:c r="N129" s="25" t="e">
        <x:f>HYPERLINK("https://img.alicdn.com/bao/uploaded/i4/3190949915/O1CN013sC7tNu8wOL1chua_!!3190949915.jpg","查看主图")</x:f>
        <x:v>HYPERLINK is not implemented. linkLocation=https://img.alicdn.com/bao/uploaded/i4/3190949915/O1CN013sC7tNu8wOL1chua_!!3190949915.jpg, friendlyName=查看主图</x:v>
      </x:c>
      <x:c r="O129" s="9" t="str">
        <x:v>标题及既有类目语义复核；BLUE ERDOS秋季高智感通勤A型弹力羊绒毛呢半裙B246C0003；原类目及标题已能确认半身裙；展示使用已知大类，未知裙长下沉到结构字段，不强猜长短。</x:v>
      </x:c>
      <x:c r="P129" s="9" t="str">
        <x:v>普通男女装</x:v>
      </x:c>
      <x:c r="Q129" s="9" t="str">
        <x:v>W_SKIRTS_AVGPAID_1300_1400_ANNUAL2026.xlsx</x:v>
      </x:c>
      <x:c r="R129" s="9" t="str">
        <x:v>默认</x:v>
      </x:c>
      <x:c r="S129" s="9" t="n">
        <x:v>328</x:v>
      </x:c>
      <x:c r="T129" s="9" t="str">
        <x:v>bd4dae1e08e9eca7ddd0669235bf59107cdc418b9c2898fc16f36a7ab5748692</x:v>
      </x:c>
      <x:c r="U129" s="9" t="str">
        <x:v>W_SKIRTS_AVGPAID_1300_1400_ANNUAL2026</x:v>
      </x:c>
      <x:c r="V129" s="9" t="str">
        <x:v>W_SKIRTS_AVGPAID_1300_1400_ANNUAL2026.xlsx / 默认 / 第328行 / SHA256 bd4dae1e08e9eca7ddd0669235bf59107cdc418b9c2898fc16f36a7ab5748692</x:v>
      </x:c>
    </x:row>
    <x:row r="130" ht="58" customHeight="1">
      <x:c r="A130" s="23" t="str">
        <x:v>967339734041</x:v>
      </x:c>
      <x:c r="B130" s="22"/>
      <x:c r="C130" s="22"/>
      <x:c r="D130" s="22"/>
      <x:c r="E130" s="9" t="str">
        <x:v>裙长未明确</x:v>
      </x:c>
      <x:c r="F130" s="9" t="str">
        <x:v>裙装</x:v>
      </x:c>
      <x:c r="G130" s="9" t="str">
        <x:v>半身裙</x:v>
      </x:c>
      <x:c r="H130" s="9" t="str">
        <x:v>女</x:v>
      </x:c>
      <x:c r="I130" s="9" t="str">
        <x:v>BLUE ERDOS秋季高智摩登率性黑色抽绳系带半裙女B256M0023</x:v>
      </x:c>
      <x:c r="J130" s="9" t="str">
        <x:v>BLUE ERDOS</x:v>
      </x:c>
      <x:c r="K130" s="24" t="n">
        <x:v>1360.46</x:v>
      </x:c>
      <x:c r="L130" s="25" t="e">
        <x:f>HYPERLINK("https://item.taobao.com/item.htm?id=967339734041","打开商品")</x:f>
        <x:v>HYPERLINK is not implemented. linkLocation=https://item.taobao.com/item.htm?id=967339734041, friendlyName=打开商品</x:v>
      </x:c>
      <x:c r="M130" s="25" t="e">
        <x:f>HYPERLINK("https://data.zhiyitech.cn/itemDetail/overview/base?itemId=967339734041","打开知衣")</x:f>
        <x:v>HYPERLINK is not implemented. linkLocation=https://data.zhiyitech.cn/itemDetail/overview/base?itemId=967339734041, friendlyName=打开知衣</x:v>
      </x:c>
      <x:c r="N130" s="25" t="e">
        <x:f>HYPERLINK("https://img.alicdn.com/bao/uploaded/i2/3190949915/O1CN0156yqF1yXcFI1chua_!!3190949915.jpg","查看主图")</x:f>
        <x:v>HYPERLINK is not implemented. linkLocation=https://img.alicdn.com/bao/uploaded/i2/3190949915/O1CN0156yqF1yXcFI1chua_!!3190949915.jpg, friendlyName=查看主图</x:v>
      </x:c>
      <x:c r="O130" s="9" t="str">
        <x:v>标题及既有类目语义复核；BLUE ERDOS秋季高智摩登率性黑色抽绳系带半裙女B256M0023；原类目及标题已能确认半身裙；展示使用已知大类，未知裙长下沉到结构字段，不强猜长短。</x:v>
      </x:c>
      <x:c r="P130" s="9" t="str">
        <x:v>普通男女装</x:v>
      </x:c>
      <x:c r="Q130" s="9" t="str">
        <x:v>W_SKIRTS_AVGPAID_1300_1400_ANNUAL2026.xlsx</x:v>
      </x:c>
      <x:c r="R130" s="9" t="str">
        <x:v>默认</x:v>
      </x:c>
      <x:c r="S130" s="9" t="n">
        <x:v>298</x:v>
      </x:c>
      <x:c r="T130" s="9" t="str">
        <x:v>bd4dae1e08e9eca7ddd0669235bf59107cdc418b9c2898fc16f36a7ab5748692</x:v>
      </x:c>
      <x:c r="U130" s="9" t="str">
        <x:v>W_SKIRTS_AVGPAID_1300_1400_ANNUAL2026</x:v>
      </x:c>
      <x:c r="V130" s="9" t="str">
        <x:v>W_SKIRTS_AVGPAID_1300_1400_ANNUAL2026.xlsx / 默认 / 第298行 / SHA256 bd4dae1e08e9eca7ddd0669235bf59107cdc418b9c2898fc16f36a7ab5748692</x:v>
      </x:c>
    </x:row>
    <x:row r="131" ht="58" customHeight="1">
      <x:c r="A131" s="23" t="str">
        <x:v>1024256475337</x:v>
      </x:c>
      <x:c r="B131" s="22"/>
      <x:c r="C131" s="22"/>
      <x:c r="D131" s="22"/>
      <x:c r="E131" s="9" t="str">
        <x:v>裙长未明确</x:v>
      </x:c>
      <x:c r="F131" s="9" t="str">
        <x:v>裙装</x:v>
      </x:c>
      <x:c r="G131" s="9" t="str">
        <x:v>半身裙</x:v>
      </x:c>
      <x:c r="H131" s="9" t="str">
        <x:v>女</x:v>
      </x:c>
      <x:c r="I131" s="9" t="str">
        <x:v>Brooks Brothers/布克兄弟女士春夏含亚麻纯色A字半身裙</x:v>
      </x:c>
      <x:c r="J131" s="9" t="str">
        <x:v>BROOKS BROTHERS/布克兄弟</x:v>
      </x:c>
      <x:c r="K131" s="24" t="n">
        <x:v>1788.52</x:v>
      </x:c>
      <x:c r="L131" s="25" t="e">
        <x:f>HYPERLINK("https://item.taobao.com/item.htm?id=1024256475337","打开商品")</x:f>
        <x:v>HYPERLINK is not implemented. linkLocation=https://item.taobao.com/item.htm?id=1024256475337, friendlyName=打开商品</x:v>
      </x:c>
      <x:c r="M131" s="25" t="e">
        <x:f>HYPERLINK("https://data.zhiyitech.cn/itemDetail/overview/base?itemId=1024256475337","打开知衣")</x:f>
        <x:v>HYPERLINK is not implemented. linkLocation=https://data.zhiyitech.cn/itemDetail/overview/base?itemId=1024256475337, friendlyName=打开知衣</x:v>
      </x:c>
      <x:c r="N131" s="25" t="e">
        <x:f>HYPERLINK("https://img.alicdn.com/bao/uploaded/i3/3364684297/O1CN01rFTIpRqHT3J1chua_!!3364684297.jpg","查看主图")</x:f>
        <x:v>HYPERLINK is not implemented. linkLocation=https://img.alicdn.com/bao/uploaded/i3/3364684297/O1CN01rFTIpRqHT3J1chua_!!3364684297.jpg, friendlyName=查看主图</x:v>
      </x:c>
      <x:c r="O131" s="9" t="str">
        <x:v>标题及既有类目语义复核；Brooks Brothers/布克兄弟女士春夏含亚麻纯色A字半身裙；原类目及标题已能确认半身裙；展示使用已知大类，未知裙长下沉到结构字段，不强猜长短。</x:v>
      </x:c>
      <x:c r="P131" s="9" t="str">
        <x:v>普通男女装</x:v>
      </x:c>
      <x:c r="Q131" s="9" t="str">
        <x:v>W_SKIRTS_AVGPAID_1700_1800_ANNUAL2026.xlsx</x:v>
      </x:c>
      <x:c r="R131" s="9" t="str">
        <x:v>默认</x:v>
      </x:c>
      <x:c r="S131" s="9" t="n">
        <x:v>326</x:v>
      </x:c>
      <x:c r="T131" s="9" t="str">
        <x:v>c25ed77c53c7c5cfcf728778a0e9b297d8689503f62756a939cbd534ca9b587a</x:v>
      </x:c>
      <x:c r="U131" s="9" t="str">
        <x:v>W_SKIRTS_AVGPAID_1700_1800_ANNUAL2026</x:v>
      </x:c>
      <x:c r="V131" s="9" t="str">
        <x:v>W_SKIRTS_AVGPAID_1700_1800_ANNUAL2026.xlsx / 默认 / 第326行 / SHA256 c25ed77c53c7c5cfcf728778a0e9b297d8689503f62756a939cbd534ca9b587a</x:v>
      </x:c>
    </x:row>
    <x:row r="132" ht="58" customHeight="1">
      <x:c r="A132" s="23" t="str">
        <x:v>1083076974273</x:v>
      </x:c>
      <x:c r="B132" s="22"/>
      <x:c r="C132" s="22"/>
      <x:c r="D132" s="22"/>
      <x:c r="E132" s="9" t="str">
        <x:v>裙长未明确</x:v>
      </x:c>
      <x:c r="F132" s="9" t="str">
        <x:v>裙装</x:v>
      </x:c>
      <x:c r="G132" s="9" t="str">
        <x:v>半身裙</x:v>
      </x:c>
      <x:c r="H132" s="9" t="str">
        <x:v>女</x:v>
      </x:c>
      <x:c r="I132" s="9" t="str">
        <x:v>CEST M丨ROW静奢优雅_意大利进口精纺羊毛垂感百褶半裙</x:v>
      </x:c>
      <x:c r="J132" s="9" t="str">
        <x:v>C'EST M</x:v>
      </x:c>
      <x:c r="K132" s="24" t="n">
        <x:v>1530.33</x:v>
      </x:c>
      <x:c r="L132" s="25" t="e">
        <x:f>HYPERLINK("https://item.taobao.com/item.htm?id=1083076974273","打开商品")</x:f>
        <x:v>HYPERLINK is not implemented. linkLocation=https://item.taobao.com/item.htm?id=1083076974273, friendlyName=打开商品</x:v>
      </x:c>
      <x:c r="M132" s="25" t="e">
        <x:f>HYPERLINK("https://data.zhiyitech.cn/itemDetail/overview/base?itemId=1083076974273","打开知衣")</x:f>
        <x:v>HYPERLINK is not implemented. linkLocation=https://data.zhiyitech.cn/itemDetail/overview/base?itemId=1083076974273, friendlyName=打开知衣</x:v>
      </x:c>
      <x:c r="N132" s="25" t="e">
        <x:f>HYPERLINK("https://img.alicdn.com/bao/uploaded/i4/2212352244380/O1CN01yFs9ywjd8eG32pKq_!!2212352244380.jpg","查看主图")</x:f>
        <x:v>HYPERLINK is not implemented. linkLocation=https://img.alicdn.com/bao/uploaded/i4/2212352244380/O1CN01yFs9ywjd8eG32pKq_!!2212352244380.jpg, friendlyName=查看主图</x:v>
      </x:c>
      <x:c r="O132" s="9" t="str">
        <x:v>标题及既有类目语义复核；CEST M丨ROW静奢优雅_意大利进口精纺羊毛垂感百褶半裙；原类目及标题已能确认半身裙；展示使用已知大类，未知裙长下沉到结构字段，不强猜长短。</x:v>
      </x:c>
      <x:c r="P132" s="9" t="str">
        <x:v>普通男女装</x:v>
      </x:c>
      <x:c r="Q132" s="9" t="str">
        <x:v>W_SKIRTS_AVGPAID_1500_1600_ANNUAL2026.xlsx</x:v>
      </x:c>
      <x:c r="R132" s="9" t="str">
        <x:v>默认</x:v>
      </x:c>
      <x:c r="S132" s="9" t="n">
        <x:v>31</x:v>
      </x:c>
      <x:c r="T132" s="9" t="str">
        <x:v>deede8b56943df4f914be45dba170f12e69064023d6ef0e88dbde1764f6ba23e</x:v>
      </x:c>
      <x:c r="U132" s="9" t="str">
        <x:v>W_SKIRTS_AVGPAID_1500_1600_ANNUAL2026</x:v>
      </x:c>
      <x:c r="V132" s="9" t="str">
        <x:v>W_SKIRTS_AVGPAID_1500_1600_ANNUAL2026.xlsx / 默认 / 第31行 / SHA256 deede8b56943df4f914be45dba170f12e69064023d6ef0e88dbde1764f6ba23e</x:v>
      </x:c>
    </x:row>
    <x:row r="133" ht="58" customHeight="1">
      <x:c r="A133" s="23" t="str">
        <x:v>963797191102</x:v>
      </x:c>
      <x:c r="B133" s="22"/>
      <x:c r="C133" s="22"/>
      <x:c r="D133" s="22"/>
      <x:c r="E133" s="9" t="str">
        <x:v>裙长未明确</x:v>
      </x:c>
      <x:c r="F133" s="9" t="str">
        <x:v>裙装</x:v>
      </x:c>
      <x:c r="G133" s="9" t="str">
        <x:v>半身裙</x:v>
      </x:c>
      <x:c r="H133" s="9" t="str">
        <x:v>女</x:v>
      </x:c>
      <x:c r="I133" s="9" t="str">
        <x:v>CEST M | VTG精致优雅 定制重磅23MM真丝中古百褶裙</x:v>
      </x:c>
      <x:c r="J133" s="9" t="str">
        <x:v>C'EST M</x:v>
      </x:c>
      <x:c r="K133" s="24" t="n">
        <x:v>1541.08</x:v>
      </x:c>
      <x:c r="L133" s="25" t="e">
        <x:f>HYPERLINK("https://item.taobao.com/item.htm?id=963797191102","打开商品")</x:f>
        <x:v>HYPERLINK is not implemented. linkLocation=https://item.taobao.com/item.htm?id=963797191102, friendlyName=打开商品</x:v>
      </x:c>
      <x:c r="M133" s="25" t="e">
        <x:f>HYPERLINK("https://data.zhiyitech.cn/itemDetail/overview/base?itemId=963797191102","打开知衣")</x:f>
        <x:v>HYPERLINK is not implemented. linkLocation=https://data.zhiyitech.cn/itemDetail/overview/base?itemId=963797191102, friendlyName=打开知衣</x:v>
      </x:c>
      <x:c r="N133" s="25" t="e">
        <x:f>HYPERLINK("https://img.alicdn.com/bao/uploaded/i1/2212352244380/O1CN013br1WH1iE5qsq0A6x_!!2212352244380.jpg","查看主图")</x:f>
        <x:v>HYPERLINK is not implemented. linkLocation=https://img.alicdn.com/bao/uploaded/i1/2212352244380/O1CN013br1WH1iE5qsq0A6x_!!2212352244380.jpg, friendlyName=查看主图</x:v>
      </x:c>
      <x:c r="O133" s="9" t="str">
        <x:v>标题及既有类目语义复核；CEST M | VTG精致优雅 定制重磅23MM真丝中古百褶裙；原类目及标题已能确认半身裙；展示使用已知大类，未知裙长下沉到结构字段，不强猜长短。</x:v>
      </x:c>
      <x:c r="P133" s="9" t="str">
        <x:v>普通男女装</x:v>
      </x:c>
      <x:c r="Q133" s="9" t="str">
        <x:v>W_SKIRTS_AVGPAID_1500_1600_ANNUAL2026.xlsx</x:v>
      </x:c>
      <x:c r="R133" s="9" t="str">
        <x:v>默认</x:v>
      </x:c>
      <x:c r="S133" s="9" t="n">
        <x:v>56</x:v>
      </x:c>
      <x:c r="T133" s="9" t="str">
        <x:v>deede8b56943df4f914be45dba170f12e69064023d6ef0e88dbde1764f6ba23e</x:v>
      </x:c>
      <x:c r="U133" s="9" t="str">
        <x:v>W_SKIRTS_AVGPAID_1500_1600_ANNUAL2026</x:v>
      </x:c>
      <x:c r="V133" s="9" t="str">
        <x:v>W_SKIRTS_AVGPAID_1500_1600_ANNUAL2026.xlsx / 默认 / 第56行 / SHA256 deede8b56943df4f914be45dba170f12e69064023d6ef0e88dbde1764f6ba23e</x:v>
      </x:c>
    </x:row>
    <x:row r="134" ht="58" customHeight="1">
      <x:c r="A134" s="23" t="str">
        <x:v>1045269252738</x:v>
      </x:c>
      <x:c r="B134" s="22"/>
      <x:c r="C134" s="22"/>
      <x:c r="D134" s="22"/>
      <x:c r="E134" s="9" t="str">
        <x:v>裙长未明确</x:v>
      </x:c>
      <x:c r="F134" s="9" t="str">
        <x:v>裙装</x:v>
      </x:c>
      <x:c r="G134" s="9" t="str">
        <x:v>半身裙</x:v>
      </x:c>
      <x:c r="H134" s="9" t="str">
        <x:v>女</x:v>
      </x:c>
      <x:c r="I134" s="9" t="str">
        <x:v>[三醋纤]CADIDL卡迪黛尔裙子女款2026新款通勤轻盈双层网纱半身裙</x:v>
      </x:c>
      <x:c r="J134" s="9" t="str">
        <x:v>CADIDL</x:v>
      </x:c>
      <x:c r="K134" s="24" t="n">
        <x:v>1599.29</x:v>
      </x:c>
      <x:c r="L134" s="25" t="e">
        <x:f>HYPERLINK("https://item.taobao.com/item.htm?id=1045269252738","打开商品")</x:f>
        <x:v>HYPERLINK is not implemented. linkLocation=https://item.taobao.com/item.htm?id=1045269252738, friendlyName=打开商品</x:v>
      </x:c>
      <x:c r="M134" s="25" t="e">
        <x:f>HYPERLINK("https://data.zhiyitech.cn/itemDetail/overview/base?itemId=1045269252738","打开知衣")</x:f>
        <x:v>HYPERLINK is not implemented. linkLocation=https://data.zhiyitech.cn/itemDetail/overview/base?itemId=1045269252738, friendlyName=打开知衣</x:v>
      </x:c>
      <x:c r="N134" s="25" t="e">
        <x:f>HYPERLINK("https://img.alicdn.com/bao/uploaded/i2/811416847/O1CN01ASHJbmEP9nI43lmS_!!4611686018427387151-0-item_pic.jpg","查看主图")</x:f>
        <x:v>HYPERLINK is not implemented. linkLocation=https://img.alicdn.com/bao/uploaded/i2/811416847/O1CN01ASHJbmEP9nI43lmS_!!4611686018427387151-0-item_pic.jpg, friendlyName=查看主图</x:v>
      </x:c>
      <x:c r="O134" s="9" t="str">
        <x:v>标题及既有类目语义复核；[三醋纤]CADIDL卡迪黛尔裙子女款2026新款通勤轻盈双层网纱半身裙；原类目及标题已能确认半身裙；展示使用已知大类，未知裙长下沉到结构字段，不强猜长短。</x:v>
      </x:c>
      <x:c r="P134" s="9" t="str">
        <x:v>普通男女装</x:v>
      </x:c>
      <x:c r="Q134" s="9" t="str">
        <x:v>W_SKIRTS_AVGPAID_1500_1600_ANNUAL2026.xlsx</x:v>
      </x:c>
      <x:c r="R134" s="9" t="str">
        <x:v>默认</x:v>
      </x:c>
      <x:c r="S134" s="9" t="n">
        <x:v>474</x:v>
      </x:c>
      <x:c r="T134" s="9" t="str">
        <x:v>deede8b56943df4f914be45dba170f12e69064023d6ef0e88dbde1764f6ba23e</x:v>
      </x:c>
      <x:c r="U134" s="9" t="str">
        <x:v>W_SKIRTS_AVGPAID_1500_1600_ANNUAL2026</x:v>
      </x:c>
      <x:c r="V134" s="9" t="str">
        <x:v>W_SKIRTS_AVGPAID_1500_1600_ANNUAL2026.xlsx / 默认 / 第474行 / SHA256 deede8b56943df4f914be45dba170f12e69064023d6ef0e88dbde1764f6ba23e</x:v>
      </x:c>
    </x:row>
    <x:row r="135" ht="58" customHeight="1">
      <x:c r="A135" s="23" t="str">
        <x:v>1045269496222</x:v>
      </x:c>
      <x:c r="B135" s="22"/>
      <x:c r="C135" s="22"/>
      <x:c r="D135" s="22"/>
      <x:c r="E135" s="9" t="str">
        <x:v>裙长未明确</x:v>
      </x:c>
      <x:c r="F135" s="9" t="str">
        <x:v>裙装</x:v>
      </x:c>
      <x:c r="G135" s="9" t="str">
        <x:v>半身裙</x:v>
      </x:c>
      <x:c r="H135" s="9" t="str">
        <x:v>女</x:v>
      </x:c>
      <x:c r="I135" s="9" t="str">
        <x:v>[桑蚕丝]CADIDL卡迪黛尔商场同款2026新款夏日女装撞色印花半身裙</x:v>
      </x:c>
      <x:c r="J135" s="9" t="str">
        <x:v>CADIDL</x:v>
      </x:c>
      <x:c r="K135" s="24" t="n">
        <x:v>1715.09</x:v>
      </x:c>
      <x:c r="L135" s="25" t="e">
        <x:f>HYPERLINK("https://item.taobao.com/item.htm?id=1045269496222","打开商品")</x:f>
        <x:v>HYPERLINK is not implemented. linkLocation=https://item.taobao.com/item.htm?id=1045269496222, friendlyName=打开商品</x:v>
      </x:c>
      <x:c r="M135" s="25" t="e">
        <x:f>HYPERLINK("https://data.zhiyitech.cn/itemDetail/overview/base?itemId=1045269496222","打开知衣")</x:f>
        <x:v>HYPERLINK is not implemented. linkLocation=https://data.zhiyitech.cn/itemDetail/overview/base?itemId=1045269496222, friendlyName=打开知衣</x:v>
      </x:c>
      <x:c r="N135" s="25" t="e">
        <x:f>HYPERLINK("https://img.alicdn.com/bao/uploaded/i1/811416847/O1CN0137c7nk20Ryzs8QmC6_!!4611686018427387151-0-item_pic.jpg","查看主图")</x:f>
        <x:v>HYPERLINK is not implemented. linkLocation=https://img.alicdn.com/bao/uploaded/i1/811416847/O1CN0137c7nk20Ryzs8QmC6_!!4611686018427387151-0-item_pic.jpg, friendlyName=查看主图</x:v>
      </x:c>
      <x:c r="O135" s="9" t="str">
        <x:v>标题及既有类目语义复核；[桑蚕丝]CADIDL卡迪黛尔商场同款2026新款夏日女装撞色印花半身裙；原类目及标题已能确认半身裙；展示使用已知大类，未知裙长下沉到结构字段，不强猜长短。</x:v>
      </x:c>
      <x:c r="P135" s="9" t="str">
        <x:v>普通男女装</x:v>
      </x:c>
      <x:c r="Q135" s="9" t="str">
        <x:v>W_SKIRTS_AVGPAID_1700_1800_ANNUAL2026.xlsx</x:v>
      </x:c>
      <x:c r="R135" s="9" t="str">
        <x:v>默认</x:v>
      </x:c>
      <x:c r="S135" s="9" t="n">
        <x:v>471</x:v>
      </x:c>
      <x:c r="T135" s="9" t="str">
        <x:v>c25ed77c53c7c5cfcf728778a0e9b297d8689503f62756a939cbd534ca9b587a</x:v>
      </x:c>
      <x:c r="U135" s="9" t="str">
        <x:v>W_SKIRTS_AVGPAID_1700_1800_ANNUAL2026</x:v>
      </x:c>
      <x:c r="V135" s="9" t="str">
        <x:v>W_SKIRTS_AVGPAID_1700_1800_ANNUAL2026.xlsx / 默认 / 第471行 / SHA256 c25ed77c53c7c5cfcf728778a0e9b297d8689503f62756a939cbd534ca9b587a</x:v>
      </x:c>
    </x:row>
    <x:row r="136" ht="58" customHeight="1">
      <x:c r="A136" s="23" t="str">
        <x:v>1027605361396</x:v>
      </x:c>
      <x:c r="B136" s="22"/>
      <x:c r="C136" s="22"/>
      <x:c r="D136" s="22"/>
      <x:c r="E136" s="9" t="str">
        <x:v>裙长未明确</x:v>
      </x:c>
      <x:c r="F136" s="9" t="str">
        <x:v>裙装</x:v>
      </x:c>
      <x:c r="G136" s="9" t="str">
        <x:v>半身裙</x:v>
      </x:c>
      <x:c r="H136" s="9" t="str">
        <x:v>女</x:v>
      </x:c>
      <x:c r="I136" s="9" t="str">
        <x:v>CAIRA 斯夏 26SS 拓印长半裙 进口100%初剪羊毛 独立设计师品牌</x:v>
      </x:c>
      <x:c r="J136" s="9" t="str">
        <x:v>CAIRA</x:v>
      </x:c>
      <x:c r="K136" s="24" t="n">
        <x:v>1713.29</x:v>
      </x:c>
      <x:c r="L136" s="25" t="e">
        <x:f>HYPERLINK("https://item.taobao.com/item.htm?id=1027605361396","打开商品")</x:f>
        <x:v>HYPERLINK is not implemented. linkLocation=https://item.taobao.com/item.htm?id=1027605361396, friendlyName=打开商品</x:v>
      </x:c>
      <x:c r="M136" s="25" t="e">
        <x:f>HYPERLINK("https://data.zhiyitech.cn/itemDetail/overview/base?itemId=1027605361396","打开知衣")</x:f>
        <x:v>HYPERLINK is not implemented. linkLocation=https://data.zhiyitech.cn/itemDetail/overview/base?itemId=1027605361396, friendlyName=打开知衣</x:v>
      </x:c>
      <x:c r="N136" s="25" t="e">
        <x:f>HYPERLINK("https://img.alicdn.com/bao/uploaded/i2/765641582/O1CN01og7Qha1NYbhZEIZyT_!!765641582.jpg","查看主图")</x:f>
        <x:v>HYPERLINK is not implemented. linkLocation=https://img.alicdn.com/bao/uploaded/i2/765641582/O1CN01og7Qha1NYbhZEIZyT_!!765641582.jpg, friendlyName=查看主图</x:v>
      </x:c>
      <x:c r="O136" s="9" t="str">
        <x:v>标题及既有类目语义复核；CAIRA 斯夏 26SS 拓印长半裙 进口100%初剪羊毛 独立设计师品牌；原类目及标题已能确认半身裙；展示使用已知大类，未知裙长下沉到结构字段，不强猜长短。</x:v>
      </x:c>
      <x:c r="P136" s="9" t="str">
        <x:v>普通男女装</x:v>
      </x:c>
      <x:c r="Q136" s="9" t="str">
        <x:v>W_SKIRTS_AVGPAID_1700_1800_ANNUAL2026.xlsx</x:v>
      </x:c>
      <x:c r="R136" s="9" t="str">
        <x:v>默认</x:v>
      </x:c>
      <x:c r="S136" s="9" t="n">
        <x:v>271</x:v>
      </x:c>
      <x:c r="T136" s="9" t="str">
        <x:v>c25ed77c53c7c5cfcf728778a0e9b297d8689503f62756a939cbd534ca9b587a</x:v>
      </x:c>
      <x:c r="U136" s="9" t="str">
        <x:v>W_SKIRTS_AVGPAID_1700_1800_ANNUAL2026</x:v>
      </x:c>
      <x:c r="V136" s="9" t="str">
        <x:v>W_SKIRTS_AVGPAID_1700_1800_ANNUAL2026.xlsx / 默认 / 第271行 / SHA256 c25ed77c53c7c5cfcf728778a0e9b297d8689503f62756a939cbd534ca9b587a</x:v>
      </x:c>
    </x:row>
    <x:row r="137" ht="58" customHeight="1">
      <x:c r="A137" s="23" t="str">
        <x:v>1031265413925</x:v>
      </x:c>
      <x:c r="B137" s="22"/>
      <x:c r="C137" s="22"/>
      <x:c r="D137" s="22"/>
      <x:c r="E137" s="9" t="str">
        <x:v>裙长未明确</x:v>
      </x:c>
      <x:c r="F137" s="9" t="str">
        <x:v>裙装</x:v>
      </x:c>
      <x:c r="G137" s="9" t="str">
        <x:v>半身裙</x:v>
      </x:c>
      <x:c r="H137" s="9" t="str">
        <x:v>女</x:v>
      </x:c>
      <x:c r="I137" s="9" t="str">
        <x:v>CAIRA 斯夏 26SS 抽绳长半裙 夏日五彩斑斓的黑 独立设计师品牌</x:v>
      </x:c>
      <x:c r="J137" s="9" t="str">
        <x:v>CAIRA</x:v>
      </x:c>
      <x:c r="K137" s="24" t="n">
        <x:v>1740.43</x:v>
      </x:c>
      <x:c r="L137" s="25" t="e">
        <x:f>HYPERLINK("https://item.taobao.com/item.htm?id=1031265413925","打开商品")</x:f>
        <x:v>HYPERLINK is not implemented. linkLocation=https://item.taobao.com/item.htm?id=1031265413925, friendlyName=打开商品</x:v>
      </x:c>
      <x:c r="M137" s="25" t="e">
        <x:f>HYPERLINK("https://data.zhiyitech.cn/itemDetail/overview/base?itemId=1031265413925","打开知衣")</x:f>
        <x:v>HYPERLINK is not implemented. linkLocation=https://data.zhiyitech.cn/itemDetail/overview/base?itemId=1031265413925, friendlyName=打开知衣</x:v>
      </x:c>
      <x:c r="N137" s="25" t="e">
        <x:f>HYPERLINK("https://img.alicdn.com/bao/uploaded/i2/765641582/O1CN014azzW91NYbhjXAqoe_!!765641582.jpg","查看主图")</x:f>
        <x:v>HYPERLINK is not implemented. linkLocation=https://img.alicdn.com/bao/uploaded/i2/765641582/O1CN014azzW91NYbhjXAqoe_!!765641582.jpg, friendlyName=查看主图</x:v>
      </x:c>
      <x:c r="O137" s="9" t="str">
        <x:v>标题及既有类目语义复核；CAIRA 斯夏 26SS 抽绳长半裙 夏日五彩斑斓的黑 独立设计师品牌；原类目及标题已能确认半身裙；展示使用已知大类，未知裙长下沉到结构字段，不强猜长短。</x:v>
      </x:c>
      <x:c r="P137" s="9" t="str">
        <x:v>普通男女装</x:v>
      </x:c>
      <x:c r="Q137" s="9" t="str">
        <x:v>W_SKIRTS_AVGPAID_1700_1800_ANNUAL2026.xlsx</x:v>
      </x:c>
      <x:c r="R137" s="9" t="str">
        <x:v>默认</x:v>
      </x:c>
      <x:c r="S137" s="9" t="n">
        <x:v>387</x:v>
      </x:c>
      <x:c r="T137" s="9" t="str">
        <x:v>c25ed77c53c7c5cfcf728778a0e9b297d8689503f62756a939cbd534ca9b587a</x:v>
      </x:c>
      <x:c r="U137" s="9" t="str">
        <x:v>W_SKIRTS_AVGPAID_1700_1800_ANNUAL2026</x:v>
      </x:c>
      <x:c r="V137" s="9" t="str">
        <x:v>W_SKIRTS_AVGPAID_1700_1800_ANNUAL2026.xlsx / 默认 / 第387行 / SHA256 c25ed77c53c7c5cfcf728778a0e9b297d8689503f62756a939cbd534ca9b587a</x:v>
      </x:c>
    </x:row>
    <x:row r="138" ht="58" customHeight="1">
      <x:c r="A138" s="23" t="str">
        <x:v>976346323939</x:v>
      </x:c>
      <x:c r="B138" s="22"/>
      <x:c r="C138" s="22"/>
      <x:c r="D138" s="22"/>
      <x:c r="E138" s="9" t="str">
        <x:v>裙长未明确</x:v>
      </x:c>
      <x:c r="F138" s="9" t="str">
        <x:v>裙装</x:v>
      </x:c>
      <x:c r="G138" s="9" t="str">
        <x:v>半身裙</x:v>
      </x:c>
      <x:c r="H138" s="9" t="str">
        <x:v>女</x:v>
      </x:c>
      <x:c r="I138" s="9" t="str">
        <x:v>CAIRA 斯夏 25FW 秋冬半裙 进口特殊面料双色灰蓝丝绒 弧线凹凸</x:v>
      </x:c>
      <x:c r="J138" s="9" t="str">
        <x:v>CAIRA</x:v>
      </x:c>
      <x:c r="K138" s="24" t="n">
        <x:v>1565.4</x:v>
      </x:c>
      <x:c r="L138" s="25" t="e">
        <x:f>HYPERLINK("https://item.taobao.com/item.htm?id=976346323939","打开商品")</x:f>
        <x:v>HYPERLINK is not implemented. linkLocation=https://item.taobao.com/item.htm?id=976346323939, friendlyName=打开商品</x:v>
      </x:c>
      <x:c r="M138" s="25" t="e">
        <x:f>HYPERLINK("https://data.zhiyitech.cn/itemDetail/overview/base?itemId=976346323939","打开知衣")</x:f>
        <x:v>HYPERLINK is not implemented. linkLocation=https://data.zhiyitech.cn/itemDetail/overview/base?itemId=976346323939, friendlyName=打开知衣</x:v>
      </x:c>
      <x:c r="N138" s="25" t="e">
        <x:f>HYPERLINK("https://img.alicdn.com/bao/uploaded/i3/765641582/O1CN01WP2BYa1NYbfSaXbfl_!!765641582.jpg","查看主图")</x:f>
        <x:v>HYPERLINK is not implemented. linkLocation=https://img.alicdn.com/bao/uploaded/i3/765641582/O1CN01WP2BYa1NYbfSaXbfl_!!765641582.jpg, friendlyName=查看主图</x:v>
      </x:c>
      <x:c r="O138" s="9" t="str">
        <x:v>标题及既有类目语义复核；CAIRA 斯夏 25FW 秋冬半裙 进口特殊面料双色灰蓝丝绒 弧线凹凸；原类目及标题已能确认半身裙；展示使用已知大类，未知裙长下沉到结构字段，不强猜长短。</x:v>
      </x:c>
      <x:c r="P138" s="9" t="str">
        <x:v>普通男女装</x:v>
      </x:c>
      <x:c r="Q138" s="9" t="str">
        <x:v>W_SKIRTS_AVGPAID_1500_1600_ANNUAL2026.xlsx</x:v>
      </x:c>
      <x:c r="R138" s="9" t="str">
        <x:v>默认</x:v>
      </x:c>
      <x:c r="S138" s="9" t="n">
        <x:v>242</x:v>
      </x:c>
      <x:c r="T138" s="9" t="str">
        <x:v>deede8b56943df4f914be45dba170f12e69064023d6ef0e88dbde1764f6ba23e</x:v>
      </x:c>
      <x:c r="U138" s="9" t="str">
        <x:v>W_SKIRTS_AVGPAID_1500_1600_ANNUAL2026</x:v>
      </x:c>
      <x:c r="V138" s="9" t="str">
        <x:v>W_SKIRTS_AVGPAID_1500_1600_ANNUAL2026.xlsx / 默认 / 第242行 / SHA256 deede8b56943df4f914be45dba170f12e69064023d6ef0e88dbde1764f6ba23e</x:v>
      </x:c>
    </x:row>
    <x:row r="139" ht="58" customHeight="1">
      <x:c r="A139" s="23" t="str">
        <x:v>978230812030</x:v>
      </x:c>
      <x:c r="B139" s="22"/>
      <x:c r="C139" s="22"/>
      <x:c r="D139" s="22"/>
      <x:c r="E139" s="9" t="str">
        <x:v>裙长未明确</x:v>
      </x:c>
      <x:c r="F139" s="9" t="str">
        <x:v>裙装</x:v>
      </x:c>
      <x:c r="G139" s="9" t="str">
        <x:v>半身裙</x:v>
      </x:c>
      <x:c r="H139" s="9" t="str">
        <x:v>女</x:v>
      </x:c>
      <x:c r="I139" s="9" t="str">
        <x:v>CAIRA 斯夏 25FW 秋冬半裙 进口特殊面料双色胭脂丝绒 弧线凹凸</x:v>
      </x:c>
      <x:c r="J139" s="9" t="str">
        <x:v>CAIRA</x:v>
      </x:c>
      <x:c r="K139" s="24" t="n">
        <x:v>1718.34</x:v>
      </x:c>
      <x:c r="L139" s="25" t="e">
        <x:f>HYPERLINK("https://item.taobao.com/item.htm?id=978230812030","打开商品")</x:f>
        <x:v>HYPERLINK is not implemented. linkLocation=https://item.taobao.com/item.htm?id=978230812030, friendlyName=打开商品</x:v>
      </x:c>
      <x:c r="M139" s="25" t="e">
        <x:f>HYPERLINK("https://data.zhiyitech.cn/itemDetail/overview/base?itemId=978230812030","打开知衣")</x:f>
        <x:v>HYPERLINK is not implemented. linkLocation=https://data.zhiyitech.cn/itemDetail/overview/base?itemId=978230812030, friendlyName=打开知衣</x:v>
      </x:c>
      <x:c r="N139" s="25" t="e">
        <x:f>HYPERLINK("https://img.alicdn.com/bao/uploaded/i1/765641582/O1CN010WxZ3o1NYbfTjMZBY_!!765641582.jpg","查看主图")</x:f>
        <x:v>HYPERLINK is not implemented. linkLocation=https://img.alicdn.com/bao/uploaded/i1/765641582/O1CN010WxZ3o1NYbfTjMZBY_!!765641582.jpg, friendlyName=查看主图</x:v>
      </x:c>
      <x:c r="O139" s="9" t="str">
        <x:v>标题及既有类目语义复核；CAIRA 斯夏 25FW 秋冬半裙 进口特殊面料双色胭脂丝绒 弧线凹凸；原类目及标题已能确认半身裙；展示使用已知大类，未知裙长下沉到结构字段，不强猜长短。</x:v>
      </x:c>
      <x:c r="P139" s="9" t="str">
        <x:v>普通男女装</x:v>
      </x:c>
      <x:c r="Q139" s="9" t="str">
        <x:v>W_SKIRTS_AVGPAID_1700_1800_ANNUAL2026.xlsx</x:v>
      </x:c>
      <x:c r="R139" s="9" t="str">
        <x:v>默认</x:v>
      </x:c>
      <x:c r="S139" s="9" t="n">
        <x:v>157</x:v>
      </x:c>
      <x:c r="T139" s="9" t="str">
        <x:v>c25ed77c53c7c5cfcf728778a0e9b297d8689503f62756a939cbd534ca9b587a</x:v>
      </x:c>
      <x:c r="U139" s="9" t="str">
        <x:v>W_SKIRTS_AVGPAID_1700_1800_ANNUAL2026</x:v>
      </x:c>
      <x:c r="V139" s="9" t="str">
        <x:v>W_SKIRTS_AVGPAID_1700_1800_ANNUAL2026.xlsx / 默认 / 第157行 / SHA256 c25ed77c53c7c5cfcf728778a0e9b297d8689503f62756a939cbd534ca9b587a</x:v>
      </x:c>
    </x:row>
    <x:row r="140" ht="58" customHeight="1">
      <x:c r="A140" s="23" t="str">
        <x:v>1029417417190</x:v>
      </x:c>
      <x:c r="B140" s="22"/>
      <x:c r="C140" s="22"/>
      <x:c r="D140" s="22"/>
      <x:c r="E140" s="9" t="str">
        <x:v>裙长未明确</x:v>
      </x:c>
      <x:c r="F140" s="9" t="str">
        <x:v>裙装</x:v>
      </x:c>
      <x:c r="G140" s="9" t="str">
        <x:v>半身裙</x:v>
      </x:c>
      <x:c r="H140" s="9" t="str">
        <x:v>女</x:v>
      </x:c>
      <x:c r="I140" s="9" t="str">
        <x:v>Caroline 商场同款 2026夏季新款职场百搭醋酸A字半身裙XSC2Q05A</x:v>
      </x:c>
      <x:c r="J140" s="9" t="str">
        <x:v>CAROLINE/卡洛琳</x:v>
      </x:c>
      <x:c r="K140" s="24" t="n">
        <x:v>1527.12</x:v>
      </x:c>
      <x:c r="L140" s="25" t="e">
        <x:f>HYPERLINK("https://item.taobao.com/item.htm?id=1029417417190","打开商品")</x:f>
        <x:v>HYPERLINK is not implemented. linkLocation=https://item.taobao.com/item.htm?id=1029417417190, friendlyName=打开商品</x:v>
      </x:c>
      <x:c r="M140" s="25" t="e">
        <x:f>HYPERLINK("https://data.zhiyitech.cn/itemDetail/overview/base?itemId=1029417417190","打开知衣")</x:f>
        <x:v>HYPERLINK is not implemented. linkLocation=https://data.zhiyitech.cn/itemDetail/overview/base?itemId=1029417417190, friendlyName=打开知衣</x:v>
      </x:c>
      <x:c r="N140" s="25" t="e">
        <x:f>HYPERLINK("https://img.alicdn.com/bao/uploaded/i3/1098438397/O1CN01BpjOB52BtsuJ9Xagr_!!4611686018427385597-0-item_pic.jpg","查看主图")</x:f>
        <x:v>HYPERLINK is not implemented. linkLocation=https://img.alicdn.com/bao/uploaded/i3/1098438397/O1CN01BpjOB52BtsuJ9Xagr_!!4611686018427385597-0-item_pic.jpg, friendlyName=查看主图</x:v>
      </x:c>
      <x:c r="O140" s="9" t="str">
        <x:v>标题及既有类目语义复核；Caroline 商场同款 2026夏季新款职场百搭醋酸A字半身裙XSC2Q05A；原类目及标题已能确认半身裙；展示使用已知大类，未知裙长下沉到结构字段，不强猜长短。</x:v>
      </x:c>
      <x:c r="P140" s="9" t="str">
        <x:v>普通男女装</x:v>
      </x:c>
      <x:c r="Q140" s="9" t="str">
        <x:v>W_SKIRTS_AVGPAID_1500_1600_ANNUAL2026.xlsx</x:v>
      </x:c>
      <x:c r="R140" s="9" t="str">
        <x:v>默认</x:v>
      </x:c>
      <x:c r="S140" s="9" t="n">
        <x:v>428</x:v>
      </x:c>
      <x:c r="T140" s="9" t="str">
        <x:v>deede8b56943df4f914be45dba170f12e69064023d6ef0e88dbde1764f6ba23e</x:v>
      </x:c>
      <x:c r="U140" s="9" t="str">
        <x:v>W_SKIRTS_AVGPAID_1500_1600_ANNUAL2026</x:v>
      </x:c>
      <x:c r="V140" s="9" t="str">
        <x:v>W_SKIRTS_AVGPAID_1500_1600_ANNUAL2026.xlsx / 默认 / 第428行 / SHA256 deede8b56943df4f914be45dba170f12e69064023d6ef0e88dbde1764f6ba23e</x:v>
      </x:c>
    </x:row>
    <x:row r="141" ht="58" customHeight="1">
      <x:c r="A141" s="23" t="str">
        <x:v>1030230448714</x:v>
      </x:c>
      <x:c r="B141" s="22"/>
      <x:c r="C141" s="22"/>
      <x:c r="D141" s="22"/>
      <x:c r="E141" s="9" t="str">
        <x:v>裙长未明确</x:v>
      </x:c>
      <x:c r="F141" s="9" t="str">
        <x:v>裙装</x:v>
      </x:c>
      <x:c r="G141" s="9" t="str">
        <x:v>半身裙</x:v>
      </x:c>
      <x:c r="H141" s="9" t="str">
        <x:v>女</x:v>
      </x:c>
      <x:c r="I141" s="9" t="str">
        <x:v>Caroline 商场同款 2026夏季新款优雅量感A字醋酸半裙XSC2Q03A</x:v>
      </x:c>
      <x:c r="J141" s="9" t="str">
        <x:v>CAROLINE/卡洛琳</x:v>
      </x:c>
      <x:c r="K141" s="24" t="n">
        <x:v>1789.75</x:v>
      </x:c>
      <x:c r="L141" s="25" t="e">
        <x:f>HYPERLINK("https://item.taobao.com/item.htm?id=1030230448714","打开商品")</x:f>
        <x:v>HYPERLINK is not implemented. linkLocation=https://item.taobao.com/item.htm?id=1030230448714, friendlyName=打开商品</x:v>
      </x:c>
      <x:c r="M141" s="25" t="e">
        <x:f>HYPERLINK("https://data.zhiyitech.cn/itemDetail/overview/base?itemId=1030230448714","打开知衣")</x:f>
        <x:v>HYPERLINK is not implemented. linkLocation=https://data.zhiyitech.cn/itemDetail/overview/base?itemId=1030230448714, friendlyName=打开知衣</x:v>
      </x:c>
      <x:c r="N141" s="25" t="e">
        <x:f>HYPERLINK("https://img.alicdn.com/bao/uploaded/i1/1098438397/O1CN01RIcaqF2Btsv33xcWO_!!4611686018427385597-0-item_pic.jpg","查看主图")</x:f>
        <x:v>HYPERLINK is not implemented. linkLocation=https://img.alicdn.com/bao/uploaded/i1/1098438397/O1CN01RIcaqF2Btsv33xcWO_!!4611686018427385597-0-item_pic.jpg, friendlyName=查看主图</x:v>
      </x:c>
      <x:c r="O141" s="9" t="str">
        <x:v>标题及既有类目语义复核；Caroline 商场同款 2026夏季新款优雅量感A字醋酸半裙XSC2Q03A；原类目及标题已能确认半身裙；展示使用已知大类，未知裙长下沉到结构字段，不强猜长短。</x:v>
      </x:c>
      <x:c r="P141" s="9" t="str">
        <x:v>普通男女装</x:v>
      </x:c>
      <x:c r="Q141" s="9" t="str">
        <x:v>W_SKIRTS_AVGPAID_1700_1800_ANNUAL2026.xlsx</x:v>
      </x:c>
      <x:c r="R141" s="9" t="str">
        <x:v>默认</x:v>
      </x:c>
      <x:c r="S141" s="9" t="n">
        <x:v>122</x:v>
      </x:c>
      <x:c r="T141" s="9" t="str">
        <x:v>c25ed77c53c7c5cfcf728778a0e9b297d8689503f62756a939cbd534ca9b587a</x:v>
      </x:c>
      <x:c r="U141" s="9" t="str">
        <x:v>W_SKIRTS_AVGPAID_1700_1800_ANNUAL2026</x:v>
      </x:c>
      <x:c r="V141" s="9" t="str">
        <x:v>W_SKIRTS_AVGPAID_1700_1800_ANNUAL2026.xlsx / 默认 / 第122行 / SHA256 c25ed77c53c7c5cfcf728778a0e9b297d8689503f62756a939cbd534ca9b587a</x:v>
      </x:c>
    </x:row>
    <x:row r="142" ht="58" customHeight="1">
      <x:c r="A142" s="23" t="str">
        <x:v>1037925838786</x:v>
      </x:c>
      <x:c r="B142" s="22"/>
      <x:c r="C142" s="22"/>
      <x:c r="D142" s="22"/>
      <x:c r="E142" s="9" t="str">
        <x:v>裙长未明确</x:v>
      </x:c>
      <x:c r="F142" s="9" t="str">
        <x:v>裙装</x:v>
      </x:c>
      <x:c r="G142" s="9" t="str">
        <x:v>半身裙</x:v>
      </x:c>
      <x:c r="H142" s="9" t="str">
        <x:v>女</x:v>
      </x:c>
      <x:c r="I142" s="9" t="str">
        <x:v>Caroline 商场同款 2026夏季新款甜酷风钉珠牛仔半身裙XSC2Y03C</x:v>
      </x:c>
      <x:c r="J142" s="9" t="str">
        <x:v>CAROLINE/卡洛琳</x:v>
      </x:c>
      <x:c r="K142" s="24" t="n">
        <x:v>1740.7</x:v>
      </x:c>
      <x:c r="L142" s="25" t="e">
        <x:f>HYPERLINK("https://item.taobao.com/item.htm?id=1037925838786","打开商品")</x:f>
        <x:v>HYPERLINK is not implemented. linkLocation=https://item.taobao.com/item.htm?id=1037925838786, friendlyName=打开商品</x:v>
      </x:c>
      <x:c r="M142" s="25" t="e">
        <x:f>HYPERLINK("https://data.zhiyitech.cn/itemDetail/overview/base?itemId=1037925838786","打开知衣")</x:f>
        <x:v>HYPERLINK is not implemented. linkLocation=https://data.zhiyitech.cn/itemDetail/overview/base?itemId=1037925838786, friendlyName=打开知衣</x:v>
      </x:c>
      <x:c r="N142" s="25" t="e">
        <x:f>HYPERLINK("https://img.alicdn.com/bao/uploaded/i2/1098438397/O1CN019vUcl22BtstZv2uTN_!!4611686018427385597-0-item_pic.jpg","查看主图")</x:f>
        <x:v>HYPERLINK is not implemented. linkLocation=https://img.alicdn.com/bao/uploaded/i2/1098438397/O1CN019vUcl22BtstZv2uTN_!!4611686018427385597-0-item_pic.jpg, friendlyName=查看主图</x:v>
      </x:c>
      <x:c r="O142" s="9" t="str">
        <x:v>标题及既有类目语义复核；Caroline 商场同款 2026夏季新款甜酷风钉珠牛仔半身裙XSC2Y03C；原类目及标题已能确认半身裙；展示使用已知大类，未知裙长下沉到结构字段，不强猜长短。</x:v>
      </x:c>
      <x:c r="P142" s="9" t="str">
        <x:v>普通男女装</x:v>
      </x:c>
      <x:c r="Q142" s="9" t="str">
        <x:v>W_SKIRTS_AVGPAID_1700_1800_ANNUAL2026.xlsx</x:v>
      </x:c>
      <x:c r="R142" s="9" t="str">
        <x:v>默认</x:v>
      </x:c>
      <x:c r="S142" s="9" t="n">
        <x:v>343</x:v>
      </x:c>
      <x:c r="T142" s="9" t="str">
        <x:v>c25ed77c53c7c5cfcf728778a0e9b297d8689503f62756a939cbd534ca9b587a</x:v>
      </x:c>
      <x:c r="U142" s="9" t="str">
        <x:v>W_SKIRTS_AVGPAID_1700_1800_ANNUAL2026</x:v>
      </x:c>
      <x:c r="V142" s="9" t="str">
        <x:v>W_SKIRTS_AVGPAID_1700_1800_ANNUAL2026.xlsx / 默认 / 第343行 / SHA256 c25ed77c53c7c5cfcf728778a0e9b297d8689503f62756a939cbd534ca9b587a</x:v>
      </x:c>
    </x:row>
    <x:row r="143" ht="58" customHeight="1">
      <x:c r="A143" s="23" t="str">
        <x:v>1046078511059</x:v>
      </x:c>
      <x:c r="B143" s="22"/>
      <x:c r="C143" s="22"/>
      <x:c r="D143" s="22"/>
      <x:c r="E143" s="9" t="str">
        <x:v>裙长未明确</x:v>
      </x:c>
      <x:c r="F143" s="9" t="str">
        <x:v>裙装</x:v>
      </x:c>
      <x:c r="G143" s="9" t="str">
        <x:v>半身裙</x:v>
      </x:c>
      <x:c r="H143" s="9" t="str">
        <x:v>女</x:v>
      </x:c>
      <x:c r="I143" s="9" t="str">
        <x:v>Caroline 商场同款 2026夏季新款拼接包臀铅笔裙半身裙XSC2Q14A</x:v>
      </x:c>
      <x:c r="J143" s="9" t="str">
        <x:v>CAROLINE/卡洛琳</x:v>
      </x:c>
      <x:c r="K143" s="24" t="n">
        <x:v>1788.86</x:v>
      </x:c>
      <x:c r="L143" s="25" t="e">
        <x:f>HYPERLINK("https://item.taobao.com/item.htm?id=1046078511059","打开商品")</x:f>
        <x:v>HYPERLINK is not implemented. linkLocation=https://item.taobao.com/item.htm?id=1046078511059, friendlyName=打开商品</x:v>
      </x:c>
      <x:c r="M143" s="25" t="e">
        <x:f>HYPERLINK("https://data.zhiyitech.cn/itemDetail/overview/base?itemId=1046078511059","打开知衣")</x:f>
        <x:v>HYPERLINK is not implemented. linkLocation=https://data.zhiyitech.cn/itemDetail/overview/base?itemId=1046078511059, friendlyName=打开知衣</x:v>
      </x:c>
      <x:c r="N143" s="25" t="e">
        <x:f>HYPERLINK("https://img.alicdn.com/bao/uploaded/i2/1098438397/O1CN01XzqVIi2BtsuKH0ovy_!!4611686018427385597-0-item_pic.jpg","查看主图")</x:f>
        <x:v>HYPERLINK is not implemented. linkLocation=https://img.alicdn.com/bao/uploaded/i2/1098438397/O1CN01XzqVIi2BtsuKH0ovy_!!4611686018427385597-0-item_pic.jpg, friendlyName=查看主图</x:v>
      </x:c>
      <x:c r="O143" s="9" t="str">
        <x:v>标题及既有类目语义复核；Caroline 商场同款 2026夏季新款拼接包臀铅笔裙半身裙XSC2Q14A；原类目及标题已能确认半身裙；展示使用已知大类，未知裙长下沉到结构字段，不强猜长短。</x:v>
      </x:c>
      <x:c r="P143" s="9" t="str">
        <x:v>普通男女装</x:v>
      </x:c>
      <x:c r="Q143" s="9" t="str">
        <x:v>W_SKIRTS_AVGPAID_1700_1800_ANNUAL2026.xlsx</x:v>
      </x:c>
      <x:c r="R143" s="9" t="str">
        <x:v>默认</x:v>
      </x:c>
      <x:c r="S143" s="9" t="n">
        <x:v>284</x:v>
      </x:c>
      <x:c r="T143" s="9" t="str">
        <x:v>c25ed77c53c7c5cfcf728778a0e9b297d8689503f62756a939cbd534ca9b587a</x:v>
      </x:c>
      <x:c r="U143" s="9" t="str">
        <x:v>W_SKIRTS_AVGPAID_1700_1800_ANNUAL2026</x:v>
      </x:c>
      <x:c r="V143" s="9" t="str">
        <x:v>W_SKIRTS_AVGPAID_1700_1800_ANNUAL2026.xlsx / 默认 / 第284行 / SHA256 c25ed77c53c7c5cfcf728778a0e9b297d8689503f62756a939cbd534ca9b587a</x:v>
      </x:c>
    </x:row>
    <x:row r="144" ht="58" customHeight="1">
      <x:c r="A144" s="23" t="str">
        <x:v>913001656169</x:v>
      </x:c>
      <x:c r="B144" s="22"/>
      <x:c r="C144" s="22"/>
      <x:c r="D144" s="22"/>
      <x:c r="E144" s="9" t="str">
        <x:v>裙长未明确</x:v>
      </x:c>
      <x:c r="F144" s="9" t="str">
        <x:v>裙装</x:v>
      </x:c>
      <x:c r="G144" s="9" t="str">
        <x:v>半身裙</x:v>
      </x:c>
      <x:c r="H144" s="9" t="str">
        <x:v>女</x:v>
      </x:c>
      <x:c r="I144" s="9" t="str">
        <x:v>Caroline 商场同款 2025夏季新款清新蓝白条纹A型半身裙R622603C</x:v>
      </x:c>
      <x:c r="J144" s="9" t="str">
        <x:v>CAROLINE/卡洛琳</x:v>
      </x:c>
      <x:c r="K144" s="24" t="n">
        <x:v>1373.1</x:v>
      </x:c>
      <x:c r="L144" s="25" t="e">
        <x:f>HYPERLINK("https://item.taobao.com/item.htm?id=913001656169","打开商品")</x:f>
        <x:v>HYPERLINK is not implemented. linkLocation=https://item.taobao.com/item.htm?id=913001656169, friendlyName=打开商品</x:v>
      </x:c>
      <x:c r="M144" s="25" t="e">
        <x:f>HYPERLINK("https://data.zhiyitech.cn/itemDetail/overview/base?itemId=913001656169","打开知衣")</x:f>
        <x:v>HYPERLINK is not implemented. linkLocation=https://data.zhiyitech.cn/itemDetail/overview/base?itemId=913001656169, friendlyName=打开知衣</x:v>
      </x:c>
      <x:c r="N144" s="25" t="e">
        <x:f>HYPERLINK("https://img.alicdn.com/bao/uploaded/i4/1098438397/O1CN01OOSt8W2BtsoaVRu6u_!!4611686018427385597-0-item_pic.jpg","查看主图")</x:f>
        <x:v>HYPERLINK is not implemented. linkLocation=https://img.alicdn.com/bao/uploaded/i4/1098438397/O1CN01OOSt8W2BtsoaVRu6u_!!4611686018427385597-0-item_pic.jpg, friendlyName=查看主图</x:v>
      </x:c>
      <x:c r="O144" s="9" t="str">
        <x:v>标题及既有类目语义复核；Caroline 商场同款 2025夏季新款清新蓝白条纹A型半身裙R622603C；原类目及标题已能确认半身裙；展示使用已知大类，未知裙长下沉到结构字段，不强猜长短。</x:v>
      </x:c>
      <x:c r="P144" s="9" t="str">
        <x:v>普通男女装</x:v>
      </x:c>
      <x:c r="Q144" s="9" t="str">
        <x:v>W_SKIRTS_AVGPAID_1300_1400_ANNUAL2026.xlsx</x:v>
      </x:c>
      <x:c r="R144" s="9" t="str">
        <x:v>默认</x:v>
      </x:c>
      <x:c r="S144" s="9" t="n">
        <x:v>467</x:v>
      </x:c>
      <x:c r="T144" s="9" t="str">
        <x:v>bd4dae1e08e9eca7ddd0669235bf59107cdc418b9c2898fc16f36a7ab5748692</x:v>
      </x:c>
      <x:c r="U144" s="9" t="str">
        <x:v>W_SKIRTS_AVGPAID_1300_1400_ANNUAL2026</x:v>
      </x:c>
      <x:c r="V144" s="9" t="str">
        <x:v>W_SKIRTS_AVGPAID_1300_1400_ANNUAL2026.xlsx / 默认 / 第467行 / SHA256 bd4dae1e08e9eca7ddd0669235bf59107cdc418b9c2898fc16f36a7ab5748692</x:v>
      </x:c>
    </x:row>
    <x:row r="145" ht="58" customHeight="1">
      <x:c r="A145" s="23" t="str">
        <x:v>923008902446</x:v>
      </x:c>
      <x:c r="B145" s="22"/>
      <x:c r="C145" s="22"/>
      <x:c r="D145" s="22"/>
      <x:c r="E145" s="9" t="str">
        <x:v>裙长未明确</x:v>
      </x:c>
      <x:c r="F145" s="9" t="str">
        <x:v>裙装</x:v>
      </x:c>
      <x:c r="G145" s="9" t="str">
        <x:v>半身裙</x:v>
      </x:c>
      <x:c r="H145" s="9" t="str">
        <x:v>女</x:v>
      </x:c>
      <x:c r="I145" s="9" t="str">
        <x:v>Caroline 商场同款 2025秋季新款学院风减法压褶百褶裙XRC4Q03A</x:v>
      </x:c>
      <x:c r="J145" s="9" t="str">
        <x:v>CAROLINE/卡洛琳</x:v>
      </x:c>
      <x:c r="K145" s="24" t="n">
        <x:v>1350.17</x:v>
      </x:c>
      <x:c r="L145" s="25" t="e">
        <x:f>HYPERLINK("https://item.taobao.com/item.htm?id=923008902446","打开商品")</x:f>
        <x:v>HYPERLINK is not implemented. linkLocation=https://item.taobao.com/item.htm?id=923008902446, friendlyName=打开商品</x:v>
      </x:c>
      <x:c r="M145" s="25" t="e">
        <x:f>HYPERLINK("https://data.zhiyitech.cn/itemDetail/overview/base?itemId=923008902446","打开知衣")</x:f>
        <x:v>HYPERLINK is not implemented. linkLocation=https://data.zhiyitech.cn/itemDetail/overview/base?itemId=923008902446, friendlyName=打开知衣</x:v>
      </x:c>
      <x:c r="N145" s="25" t="e">
        <x:f>HYPERLINK("https://img.alicdn.com/bao/uploaded/i3/1098438397/O1CN01xifZd92BtspOyewCA_!!4611686018427385597-0-item_pic.jpg","查看主图")</x:f>
        <x:v>HYPERLINK is not implemented. linkLocation=https://img.alicdn.com/bao/uploaded/i3/1098438397/O1CN01xifZd92BtspOyewCA_!!4611686018427385597-0-item_pic.jpg, friendlyName=查看主图</x:v>
      </x:c>
      <x:c r="O145" s="9" t="str">
        <x:v>标题及既有类目语义复核；Caroline 商场同款 2025秋季新款学院风减法压褶百褶裙XRC4Q03A；原类目及标题已能确认半身裙；展示使用已知大类，未知裙长下沉到结构字段，不强猜长短。</x:v>
      </x:c>
      <x:c r="P145" s="9" t="str">
        <x:v>普通男女装</x:v>
      </x:c>
      <x:c r="Q145" s="9" t="str">
        <x:v>W_SKIRTS_AVGPAID_1300_1400_ANNUAL2026.xlsx</x:v>
      </x:c>
      <x:c r="R145" s="9" t="str">
        <x:v>默认</x:v>
      </x:c>
      <x:c r="S145" s="9" t="n">
        <x:v>389</x:v>
      </x:c>
      <x:c r="T145" s="9" t="str">
        <x:v>bd4dae1e08e9eca7ddd0669235bf59107cdc418b9c2898fc16f36a7ab5748692</x:v>
      </x:c>
      <x:c r="U145" s="9" t="str">
        <x:v>W_SKIRTS_AVGPAID_1300_1400_ANNUAL2026</x:v>
      </x:c>
      <x:c r="V145" s="9" t="str">
        <x:v>W_SKIRTS_AVGPAID_1300_1400_ANNUAL2026.xlsx / 默认 / 第389行 / SHA256 bd4dae1e08e9eca7ddd0669235bf59107cdc418b9c2898fc16f36a7ab5748692</x:v>
      </x:c>
    </x:row>
    <x:row r="146" ht="58" customHeight="1">
      <x:c r="A146" s="23" t="str">
        <x:v>940531887178</x:v>
      </x:c>
      <x:c r="B146" s="22"/>
      <x:c r="C146" s="22"/>
      <x:c r="D146" s="22"/>
      <x:c r="E146" s="9" t="str">
        <x:v>裙长未明确</x:v>
      </x:c>
      <x:c r="F146" s="9" t="str">
        <x:v>裙装</x:v>
      </x:c>
      <x:c r="G146" s="9" t="str">
        <x:v>半身裙</x:v>
      </x:c>
      <x:c r="H146" s="9" t="str">
        <x:v>女</x:v>
      </x:c>
      <x:c r="I146" s="9" t="str">
        <x:v>Caroline 商场同款 2025秋季新款海边度假风飘逸半身裙XRC4Q22B</x:v>
      </x:c>
      <x:c r="J146" s="9" t="str">
        <x:v>CAROLINE/卡洛琳</x:v>
      </x:c>
      <x:c r="K146" s="24" t="n">
        <x:v>1360.8</x:v>
      </x:c>
      <x:c r="L146" s="25" t="e">
        <x:f>HYPERLINK("https://item.taobao.com/item.htm?id=940531887178","打开商品")</x:f>
        <x:v>HYPERLINK is not implemented. linkLocation=https://item.taobao.com/item.htm?id=940531887178, friendlyName=打开商品</x:v>
      </x:c>
      <x:c r="M146" s="25" t="e">
        <x:f>HYPERLINK("https://data.zhiyitech.cn/itemDetail/overview/base?itemId=940531887178","打开知衣")</x:f>
        <x:v>HYPERLINK is not implemented. linkLocation=https://data.zhiyitech.cn/itemDetail/overview/base?itemId=940531887178, friendlyName=打开知衣</x:v>
      </x:c>
      <x:c r="N146" s="25" t="e">
        <x:f>HYPERLINK("https://img.alicdn.com/bao/uploaded/i2/1098438397/O1CN01qcZDmZ2BtsqIXXJgp_!!4611686018427385597-0-item_pic.jpg","查看主图")</x:f>
        <x:v>HYPERLINK is not implemented. linkLocation=https://img.alicdn.com/bao/uploaded/i2/1098438397/O1CN01qcZDmZ2BtsqIXXJgp_!!4611686018427385597-0-item_pic.jpg, friendlyName=查看主图</x:v>
      </x:c>
      <x:c r="O146" s="9" t="str">
        <x:v>标题及既有类目语义复核；Caroline 商场同款 2025秋季新款海边度假风飘逸半身裙XRC4Q22B；原类目及标题已能确认半身裙；展示使用已知大类，未知裙长下沉到结构字段，不强猜长短。</x:v>
      </x:c>
      <x:c r="P146" s="9" t="str">
        <x:v>普通男女装</x:v>
      </x:c>
      <x:c r="Q146" s="9" t="str">
        <x:v>W_SKIRTS_AVGPAID_1300_1400_ANNUAL2026.xlsx</x:v>
      </x:c>
      <x:c r="R146" s="9" t="str">
        <x:v>默认</x:v>
      </x:c>
      <x:c r="S146" s="9" t="n">
        <x:v>257</x:v>
      </x:c>
      <x:c r="T146" s="9" t="str">
        <x:v>bd4dae1e08e9eca7ddd0669235bf59107cdc418b9c2898fc16f36a7ab5748692</x:v>
      </x:c>
      <x:c r="U146" s="9" t="str">
        <x:v>W_SKIRTS_AVGPAID_1300_1400_ANNUAL2026</x:v>
      </x:c>
      <x:c r="V146" s="9" t="str">
        <x:v>W_SKIRTS_AVGPAID_1300_1400_ANNUAL2026.xlsx / 默认 / 第257行 / SHA256 bd4dae1e08e9eca7ddd0669235bf59107cdc418b9c2898fc16f36a7ab5748692</x:v>
      </x:c>
    </x:row>
    <x:row r="147" ht="58" customHeight="1">
      <x:c r="A147" s="23" t="str">
        <x:v>978726544658</x:v>
      </x:c>
      <x:c r="B147" s="22"/>
      <x:c r="C147" s="22"/>
      <x:c r="D147" s="22"/>
      <x:c r="E147" s="9" t="str">
        <x:v>裙长未明确</x:v>
      </x:c>
      <x:c r="F147" s="9" t="str">
        <x:v>裙装</x:v>
      </x:c>
      <x:c r="G147" s="9" t="str">
        <x:v>半身裙</x:v>
      </x:c>
      <x:c r="H147" s="9" t="str">
        <x:v>女</x:v>
      </x:c>
      <x:c r="I147" s="9" t="str">
        <x:v>Caroline 商场同款 2025冬季新款复古法式钉珠A字半身裙XRC6Q11A</x:v>
      </x:c>
      <x:c r="J147" s="9" t="str">
        <x:v>CAROLINE/卡洛琳</x:v>
      </x:c>
      <x:c r="K147" s="24" t="n">
        <x:v>1512.33</x:v>
      </x:c>
      <x:c r="L147" s="25" t="e">
        <x:f>HYPERLINK("https://item.taobao.com/item.htm?id=978726544658","打开商品")</x:f>
        <x:v>HYPERLINK is not implemented. linkLocation=https://item.taobao.com/item.htm?id=978726544658, friendlyName=打开商品</x:v>
      </x:c>
      <x:c r="M147" s="25" t="e">
        <x:f>HYPERLINK("https://data.zhiyitech.cn/itemDetail/overview/base?itemId=978726544658","打开知衣")</x:f>
        <x:v>HYPERLINK is not implemented. linkLocation=https://data.zhiyitech.cn/itemDetail/overview/base?itemId=978726544658, friendlyName=打开知衣</x:v>
      </x:c>
      <x:c r="N147" s="25" t="e">
        <x:f>HYPERLINK("https://img.alicdn.com/bao/uploaded/i4/1098438397/O1CN01RCQLUs2Btsr708Mfc_!!4611686018427385597-0-item_pic.jpg","查看主图")</x:f>
        <x:v>HYPERLINK is not implemented. linkLocation=https://img.alicdn.com/bao/uploaded/i4/1098438397/O1CN01RCQLUs2Btsr708Mfc_!!4611686018427385597-0-item_pic.jpg, friendlyName=查看主图</x:v>
      </x:c>
      <x:c r="O147" s="9" t="str">
        <x:v>标题及既有类目语义复核；Caroline 商场同款 2025冬季新款复古法式钉珠A字半身裙XRC6Q11A；原类目及标题已能确认半身裙；展示使用已知大类，未知裙长下沉到结构字段，不强猜长短。</x:v>
      </x:c>
      <x:c r="P147" s="9" t="str">
        <x:v>普通男女装</x:v>
      </x:c>
      <x:c r="Q147" s="9" t="str">
        <x:v>W_SKIRTS_AVGPAID_1500_1600_ANNUAL2026.xlsx</x:v>
      </x:c>
      <x:c r="R147" s="9" t="str">
        <x:v>默认</x:v>
      </x:c>
      <x:c r="S147" s="9" t="n">
        <x:v>339</x:v>
      </x:c>
      <x:c r="T147" s="9" t="str">
        <x:v>deede8b56943df4f914be45dba170f12e69064023d6ef0e88dbde1764f6ba23e</x:v>
      </x:c>
      <x:c r="U147" s="9" t="str">
        <x:v>W_SKIRTS_AVGPAID_1500_1600_ANNUAL2026</x:v>
      </x:c>
      <x:c r="V147" s="9" t="str">
        <x:v>W_SKIRTS_AVGPAID_1500_1600_ANNUAL2026.xlsx / 默认 / 第339行 / SHA256 deede8b56943df4f914be45dba170f12e69064023d6ef0e88dbde1764f6ba23e</x:v>
      </x:c>
    </x:row>
    <x:row r="148" ht="58" customHeight="1">
      <x:c r="A148" s="23" t="str">
        <x:v>984440139399</x:v>
      </x:c>
      <x:c r="B148" s="22"/>
      <x:c r="C148" s="22"/>
      <x:c r="D148" s="22"/>
      <x:c r="E148" s="9" t="str">
        <x:v>裙长未明确</x:v>
      </x:c>
      <x:c r="F148" s="9" t="str">
        <x:v>裙装</x:v>
      </x:c>
      <x:c r="G148" s="9" t="str">
        <x:v>半身裙</x:v>
      </x:c>
      <x:c r="H148" s="9" t="str">
        <x:v>女</x:v>
      </x:c>
      <x:c r="I148" s="9" t="str">
        <x:v>Caroline 商场同款 2025冬季新款时髦高腰开叉半身裙XRC7Q03B</x:v>
      </x:c>
      <x:c r="J148" s="9" t="str">
        <x:v>CAROLINE/卡洛琳</x:v>
      </x:c>
      <x:c r="K148" s="24" t="n">
        <x:v>1765.95</x:v>
      </x:c>
      <x:c r="L148" s="25" t="e">
        <x:f>HYPERLINK("https://item.taobao.com/item.htm?id=984440139399","打开商品")</x:f>
        <x:v>HYPERLINK is not implemented. linkLocation=https://item.taobao.com/item.htm?id=984440139399, friendlyName=打开商品</x:v>
      </x:c>
      <x:c r="M148" s="25" t="e">
        <x:f>HYPERLINK("https://data.zhiyitech.cn/itemDetail/overview/base?itemId=984440139399","打开知衣")</x:f>
        <x:v>HYPERLINK is not implemented. linkLocation=https://data.zhiyitech.cn/itemDetail/overview/base?itemId=984440139399, friendlyName=打开知衣</x:v>
      </x:c>
      <x:c r="N148" s="25" t="e">
        <x:f>HYPERLINK("https://img.alicdn.com/bao/uploaded/i1/1098438397/O1CN01RkfG2x2Btsrcn8mdr_!!4611686018427385597-0-item_pic.jpg","查看主图")</x:f>
        <x:v>HYPERLINK is not implemented. linkLocation=https://img.alicdn.com/bao/uploaded/i1/1098438397/O1CN01RkfG2x2Btsrcn8mdr_!!4611686018427385597-0-item_pic.jpg, friendlyName=查看主图</x:v>
      </x:c>
      <x:c r="O148" s="9" t="str">
        <x:v>标题及既有类目语义复核；Caroline 商场同款 2025冬季新款时髦高腰开叉半身裙XRC7Q03B；原类目及标题已能确认半身裙；展示使用已知大类，未知裙长下沉到结构字段，不强猜长短。</x:v>
      </x:c>
      <x:c r="P148" s="9" t="str">
        <x:v>普通男女装</x:v>
      </x:c>
      <x:c r="Q148" s="9" t="str">
        <x:v>W_SKIRTS_AVGPAID_1700_1800_ANNUAL2026.xlsx</x:v>
      </x:c>
      <x:c r="R148" s="9" t="str">
        <x:v>默认</x:v>
      </x:c>
      <x:c r="S148" s="9" t="n">
        <x:v>218</x:v>
      </x:c>
      <x:c r="T148" s="9" t="str">
        <x:v>c25ed77c53c7c5cfcf728778a0e9b297d8689503f62756a939cbd534ca9b587a</x:v>
      </x:c>
      <x:c r="U148" s="9" t="str">
        <x:v>W_SKIRTS_AVGPAID_1700_1800_ANNUAL2026</x:v>
      </x:c>
      <x:c r="V148" s="9" t="str">
        <x:v>W_SKIRTS_AVGPAID_1700_1800_ANNUAL2026.xlsx / 默认 / 第218行 / SHA256 c25ed77c53c7c5cfcf728778a0e9b297d8689503f62756a939cbd534ca9b587a</x:v>
      </x:c>
    </x:row>
    <x:row r="149" ht="58" customHeight="1">
      <x:c r="A149" s="23" t="str">
        <x:v>1058700552475</x:v>
      </x:c>
      <x:c r="B149" s="22"/>
      <x:c r="C149" s="22"/>
      <x:c r="D149" s="22"/>
      <x:c r="E149" s="9" t="str">
        <x:v>裙长未明确</x:v>
      </x:c>
      <x:c r="F149" s="9" t="str">
        <x:v>裙装</x:v>
      </x:c>
      <x:c r="G149" s="9" t="str">
        <x:v>半身裙</x:v>
      </x:c>
      <x:c r="H149" s="9" t="str">
        <x:v>女</x:v>
      </x:c>
      <x:c r="I149" s="9" t="str">
        <x:v>现货CCHER“重工真丝绣花”马面裙 近3.5米奢侈用量XBAH1748无折</x:v>
      </x:c>
      <x:c r="J149" s="9" t="str">
        <x:v>CCHER</x:v>
      </x:c>
      <x:c r="K149" s="24" t="n">
        <x:v>1769.26</x:v>
      </x:c>
      <x:c r="L149" s="25" t="e">
        <x:f>HYPERLINK("https://item.taobao.com/item.htm?id=1058700552475","打开商品")</x:f>
        <x:v>HYPERLINK is not implemented. linkLocation=https://item.taobao.com/item.htm?id=1058700552475, friendlyName=打开商品</x:v>
      </x:c>
      <x:c r="M149" s="25" t="e">
        <x:f>HYPERLINK("https://data.zhiyitech.cn/itemDetail/overview/base?itemId=1058700552475","打开知衣")</x:f>
        <x:v>HYPERLINK is not implemented. linkLocation=https://data.zhiyitech.cn/itemDetail/overview/base?itemId=1058700552475, friendlyName=打开知衣</x:v>
      </x:c>
      <x:c r="N149" s="25" t="e">
        <x:f>HYPERLINK("https://img.alicdn.com/bao/uploaded/i1/11552165/O1CN01ogm2kh1RrcdDSzokx_!!11552165.jpg","查看主图")</x:f>
        <x:v>HYPERLINK is not implemented. linkLocation=https://img.alicdn.com/bao/uploaded/i1/11552165/O1CN01ogm2kh1RrcdDSzokx_!!11552165.jpg, friendlyName=查看主图</x:v>
      </x:c>
      <x:c r="O149" s="9" t="str">
        <x:v>标题及既有类目语义复核；现货CCHER“重工真丝绣花”马面裙 近3.5米奢侈用量XBAH1748无折；原类目及标题已能确认半身裙；展示使用已知大类，未知裙长下沉到结构字段，不强猜长短。</x:v>
      </x:c>
      <x:c r="P149" s="9" t="str">
        <x:v>普通男女装</x:v>
      </x:c>
      <x:c r="Q149" s="9" t="str">
        <x:v>W_SKIRTS_AVGPAID_1700_1800_ANNUAL2026.xlsx</x:v>
      </x:c>
      <x:c r="R149" s="9" t="str">
        <x:v>默认</x:v>
      </x:c>
      <x:c r="S149" s="9" t="n">
        <x:v>262</x:v>
      </x:c>
      <x:c r="T149" s="9" t="str">
        <x:v>c25ed77c53c7c5cfcf728778a0e9b297d8689503f62756a939cbd534ca9b587a</x:v>
      </x:c>
      <x:c r="U149" s="9" t="str">
        <x:v>W_SKIRTS_AVGPAID_1700_1800_ANNUAL2026</x:v>
      </x:c>
      <x:c r="V149" s="9" t="str">
        <x:v>W_SKIRTS_AVGPAID_1700_1800_ANNUAL2026.xlsx / 默认 / 第262行 / SHA256 c25ed77c53c7c5cfcf728778a0e9b297d8689503f62756a939cbd534ca9b587a</x:v>
      </x:c>
    </x:row>
    <x:row r="150" ht="58" customHeight="1">
      <x:c r="A150" s="23" t="str">
        <x:v>1079830284863</x:v>
      </x:c>
      <x:c r="B150" s="22"/>
      <x:c r="C150" s="22"/>
      <x:c r="D150" s="22"/>
      <x:c r="E150" s="9" t="str">
        <x:v>裙长未明确</x:v>
      </x:c>
      <x:c r="F150" s="9" t="str">
        <x:v>裙装</x:v>
      </x:c>
      <x:c r="G150" s="9" t="str">
        <x:v>半身裙</x:v>
      </x:c>
      <x:c r="H150" s="9" t="str">
        <x:v>女</x:v>
      </x:c>
      <x:c r="I150" s="9" t="str">
        <x:v>Harris Tweed哈里斯粗花呢套装</x:v>
      </x:c>
      <x:c r="J150" s="9" t="str">
        <x:v>CCHER</x:v>
      </x:c>
      <x:c r="K150" s="24" t="n">
        <x:v>1548.04</x:v>
      </x:c>
      <x:c r="L150" s="25" t="e">
        <x:f>HYPERLINK("https://item.taobao.com/item.htm?id=1079830284863","打开商品")</x:f>
        <x:v>HYPERLINK is not implemented. linkLocation=https://item.taobao.com/item.htm?id=1079830284863, friendlyName=打开商品</x:v>
      </x:c>
      <x:c r="M150" s="25" t="e">
        <x:f>HYPERLINK("https://data.zhiyitech.cn/itemDetail/overview/base?itemId=1079830284863","打开知衣")</x:f>
        <x:v>HYPERLINK is not implemented. linkLocation=https://data.zhiyitech.cn/itemDetail/overview/base?itemId=1079830284863, friendlyName=打开知衣</x:v>
      </x:c>
      <x:c r="N150" s="25" t="e">
        <x:f>HYPERLINK("https://img.alicdn.com/bao/uploaded/i4/11552165/O1CN01CeiZGedeWQK2vH2e_!!11552165.jpg","查看主图")</x:f>
        <x:v>HYPERLINK is not implemented. linkLocation=https://img.alicdn.com/bao/uploaded/i4/11552165/O1CN01CeiZGedeWQK2vH2e_!!11552165.jpg, friendlyName=查看主图</x:v>
      </x:c>
      <x:c r="O150" s="9" t="str">
        <x:v>标题及既有类目语义复核；Harris Tweed哈里斯粗花呢套装；原类目及标题已能确认半身裙；展示使用已知大类，未知裙长下沉到结构字段，不强猜长短。</x:v>
      </x:c>
      <x:c r="P150" s="9" t="str">
        <x:v>普通男女装</x:v>
      </x:c>
      <x:c r="Q150" s="9" t="str">
        <x:v>W_SKIRTS_AVGPAID_1500_1600_ANNUAL2026.xlsx</x:v>
      </x:c>
      <x:c r="R150" s="9" t="str">
        <x:v>默认</x:v>
      </x:c>
      <x:c r="S150" s="9" t="n">
        <x:v>387</x:v>
      </x:c>
      <x:c r="T150" s="9" t="str">
        <x:v>deede8b56943df4f914be45dba170f12e69064023d6ef0e88dbde1764f6ba23e</x:v>
      </x:c>
      <x:c r="U150" s="9" t="str">
        <x:v>W_SKIRTS_AVGPAID_1500_1600_ANNUAL2026</x:v>
      </x:c>
      <x:c r="V150" s="9" t="str">
        <x:v>W_SKIRTS_AVGPAID_1500_1600_ANNUAL2026.xlsx / 默认 / 第387行 / SHA256 deede8b56943df4f914be45dba170f12e69064023d6ef0e88dbde1764f6ba23e</x:v>
      </x:c>
    </x:row>
    <x:row r="151" ht="58" customHeight="1">
      <x:c r="A151" s="23" t="str">
        <x:v>701796889877</x:v>
      </x:c>
      <x:c r="B151" s="22"/>
      <x:c r="C151" s="22"/>
      <x:c r="D151" s="22"/>
      <x:c r="E151" s="9" t="str">
        <x:v>裙长未明确</x:v>
      </x:c>
      <x:c r="F151" s="9" t="str">
        <x:v>裙装</x:v>
      </x:c>
      <x:c r="G151" s="9" t="str">
        <x:v>半身裙</x:v>
      </x:c>
      <x:c r="H151" s="9" t="str">
        <x:v>女</x:v>
      </x:c>
      <x:c r="I151" s="9" t="str">
        <x:v>CEJIA土耳其进口 铜氨印花半身裙</x:v>
      </x:c>
      <x:c r="J151" s="9" t="str">
        <x:v>CEJIASTUDIOS</x:v>
      </x:c>
      <x:c r="K151" s="24" t="n">
        <x:v>1335.87</x:v>
      </x:c>
      <x:c r="L151" s="25" t="e">
        <x:f>HYPERLINK("https://item.taobao.com/item.htm?id=701796889877","打开商品")</x:f>
        <x:v>HYPERLINK is not implemented. linkLocation=https://item.taobao.com/item.htm?id=701796889877, friendlyName=打开商品</x:v>
      </x:c>
      <x:c r="M151" s="25" t="e">
        <x:f>HYPERLINK("https://data.zhiyitech.cn/itemDetail/overview/base?itemId=701796889877","打开知衣")</x:f>
        <x:v>HYPERLINK is not implemented. linkLocation=https://data.zhiyitech.cn/itemDetail/overview/base?itemId=701796889877, friendlyName=打开知衣</x:v>
      </x:c>
      <x:c r="N151" s="25" t="e">
        <x:f>HYPERLINK("https://img.alicdn.com/bao/uploaded/i3/249210342/O1CN01z2Khzf1EOgGMOA3XJ_!!249210342.jpg","查看主图")</x:f>
        <x:v>HYPERLINK is not implemented. linkLocation=https://img.alicdn.com/bao/uploaded/i3/249210342/O1CN01z2Khzf1EOgGMOA3XJ_!!249210342.jpg, friendlyName=查看主图</x:v>
      </x:c>
      <x:c r="O151" s="9" t="str">
        <x:v>标题及既有类目语义复核；CEJIA土耳其进口 铜氨印花半身裙；原类目及标题已能确认半身裙；展示使用已知大类，未知裙长下沉到结构字段，不强猜长短。</x:v>
      </x:c>
      <x:c r="P151" s="9" t="str">
        <x:v>普通男女装</x:v>
      </x:c>
      <x:c r="Q151" s="9" t="str">
        <x:v>W_SKIRTS_AVGPAID_1300_1400_ANNUAL2026.xlsx</x:v>
      </x:c>
      <x:c r="R151" s="9" t="str">
        <x:v>默认</x:v>
      </x:c>
      <x:c r="S151" s="9" t="n">
        <x:v>53</x:v>
      </x:c>
      <x:c r="T151" s="9" t="str">
        <x:v>bd4dae1e08e9eca7ddd0669235bf59107cdc418b9c2898fc16f36a7ab5748692</x:v>
      </x:c>
      <x:c r="U151" s="9" t="str">
        <x:v>W_SKIRTS_AVGPAID_1300_1400_ANNUAL2026</x:v>
      </x:c>
      <x:c r="V151" s="9" t="str">
        <x:v>W_SKIRTS_AVGPAID_1300_1400_ANNUAL2026.xlsx / 默认 / 第53行 / SHA256 bd4dae1e08e9eca7ddd0669235bf59107cdc418b9c2898fc16f36a7ab5748692</x:v>
      </x:c>
    </x:row>
    <x:row r="152" ht="58" customHeight="1">
      <x:c r="A152" s="23" t="str">
        <x:v>1082679541072</x:v>
      </x:c>
      <x:c r="B152" s="22"/>
      <x:c r="C152" s="22"/>
      <x:c r="D152" s="22"/>
      <x:c r="E152" s="9" t="str">
        <x:v>裙长未明确</x:v>
      </x:c>
      <x:c r="F152" s="9" t="str">
        <x:v>裙装</x:v>
      </x:c>
      <x:c r="G152" s="9" t="str">
        <x:v>半身裙</x:v>
      </x:c>
      <x:c r="H152" s="9" t="str">
        <x:v>女</x:v>
      </x:c>
      <x:c r="I152" s="9" t="str">
        <x:v>【新款】Cello Sonata 26秋 蕾丝荷叶边抽褶开衩半裙</x:v>
      </x:c>
      <x:c r="J152" s="9" t="str">
        <x:v>CELLO SONATA</x:v>
      </x:c>
      <x:c r="K152" s="24" t="n">
        <x:v>1552.07</x:v>
      </x:c>
      <x:c r="L152" s="25" t="e">
        <x:f>HYPERLINK("https://item.taobao.com/item.htm?id=1082679541072","打开商品")</x:f>
        <x:v>HYPERLINK is not implemented. linkLocation=https://item.taobao.com/item.htm?id=1082679541072, friendlyName=打开商品</x:v>
      </x:c>
      <x:c r="M152" s="25" t="e">
        <x:f>HYPERLINK("https://data.zhiyitech.cn/itemDetail/overview/base?itemId=1082679541072","打开知衣")</x:f>
        <x:v>HYPERLINK is not implemented. linkLocation=https://data.zhiyitech.cn/itemDetail/overview/base?itemId=1082679541072, friendlyName=打开知衣</x:v>
      </x:c>
      <x:c r="N152" s="25" t="e">
        <x:f>HYPERLINK("https://img.alicdn.com/bao/uploaded/i3/2212706705712/O1CN01b4LNfMcmtHE3FPpA_!!4611686018427380016-0-item_pic.jpg","查看主图")</x:f>
        <x:v>HYPERLINK is not implemented. linkLocation=https://img.alicdn.com/bao/uploaded/i3/2212706705712/O1CN01b4LNfMcmtHE3FPpA_!!4611686018427380016-0-item_pic.jpg, friendlyName=查看主图</x:v>
      </x:c>
      <x:c r="O152" s="9" t="str">
        <x:v>标题及既有类目语义复核；【新款】Cello Sonata 26秋 蕾丝荷叶边抽褶开衩半裙；原类目及标题已能确认半身裙；展示使用已知大类，未知裙长下沉到结构字段，不强猜长短。</x:v>
      </x:c>
      <x:c r="P152" s="9" t="str">
        <x:v>普通男女装</x:v>
      </x:c>
      <x:c r="Q152" s="9" t="str">
        <x:v>W_SKIRTS_AVGPAID_1500_1600_ANNUAL2026.xlsx</x:v>
      </x:c>
      <x:c r="R152" s="9" t="str">
        <x:v>默认</x:v>
      </x:c>
      <x:c r="S152" s="9" t="n">
        <x:v>423</x:v>
      </x:c>
      <x:c r="T152" s="9" t="str">
        <x:v>deede8b56943df4f914be45dba170f12e69064023d6ef0e88dbde1764f6ba23e</x:v>
      </x:c>
      <x:c r="U152" s="9" t="str">
        <x:v>W_SKIRTS_AVGPAID_1500_1600_ANNUAL2026</x:v>
      </x:c>
      <x:c r="V152" s="9" t="str">
        <x:v>W_SKIRTS_AVGPAID_1500_1600_ANNUAL2026.xlsx / 默认 / 第423行 / SHA256 deede8b56943df4f914be45dba170f12e69064023d6ef0e88dbde1764f6ba23e</x:v>
      </x:c>
    </x:row>
    <x:row r="153" ht="58" customHeight="1">
      <x:c r="A153" s="23" t="str">
        <x:v>1086171708858</x:v>
      </x:c>
      <x:c r="B153" s="22"/>
      <x:c r="C153" s="22"/>
      <x:c r="D153" s="22"/>
      <x:c r="E153" s="9" t="str">
        <x:v>裙长未明确</x:v>
      </x:c>
      <x:c r="F153" s="9" t="str">
        <x:v>裙装</x:v>
      </x:c>
      <x:c r="G153" s="9" t="str">
        <x:v>半身裙</x:v>
      </x:c>
      <x:c r="H153" s="9" t="str">
        <x:v>女</x:v>
      </x:c>
      <x:c r="I153" s="9" t="str">
        <x:v>【新款】Cello Sonata 26秋冬 羊毛褶皱鼓波条大摆针织半身裙</x:v>
      </x:c>
      <x:c r="J153" s="9" t="str">
        <x:v>CELLO SONATA</x:v>
      </x:c>
      <x:c r="K153" s="24" t="n">
        <x:v>1598.24</x:v>
      </x:c>
      <x:c r="L153" s="25" t="e">
        <x:f>HYPERLINK("https://item.taobao.com/item.htm?id=1086171708858","打开商品")</x:f>
        <x:v>HYPERLINK is not implemented. linkLocation=https://item.taobao.com/item.htm?id=1086171708858, friendlyName=打开商品</x:v>
      </x:c>
      <x:c r="M153" s="25" t="e">
        <x:f>HYPERLINK("https://data.zhiyitech.cn/itemDetail/overview/base?itemId=1086171708858","打开知衣")</x:f>
        <x:v>HYPERLINK is not implemented. linkLocation=https://data.zhiyitech.cn/itemDetail/overview/base?itemId=1086171708858, friendlyName=打开知衣</x:v>
      </x:c>
      <x:c r="N153" s="25" t="e">
        <x:f>HYPERLINK("https://img.alicdn.com/bao/uploaded/i3/2212706705712/O1CN01EcblPI90KbH3FPpA_!!4611686018427380016-0-item_pic.jpg","查看主图")</x:f>
        <x:v>HYPERLINK is not implemented. linkLocation=https://img.alicdn.com/bao/uploaded/i3/2212706705712/O1CN01EcblPI90KbH3FPpA_!!4611686018427380016-0-item_pic.jpg, friendlyName=查看主图</x:v>
      </x:c>
      <x:c r="O153" s="9" t="str">
        <x:v>标题及既有类目语义复核；【新款】Cello Sonata 26秋冬 羊毛褶皱鼓波条大摆针织半身裙；原类目及标题已能确认半身裙；展示使用已知大类，未知裙长下沉到结构字段，不强猜长短。</x:v>
      </x:c>
      <x:c r="P153" s="9" t="str">
        <x:v>普通男女装</x:v>
      </x:c>
      <x:c r="Q153" s="9" t="str">
        <x:v>W_SKIRTS_AVGPAID_1500_1600_ANNUAL2026.xlsx</x:v>
      </x:c>
      <x:c r="R153" s="9" t="str">
        <x:v>默认</x:v>
      </x:c>
      <x:c r="S153" s="9" t="n">
        <x:v>430</x:v>
      </x:c>
      <x:c r="T153" s="9" t="str">
        <x:v>deede8b56943df4f914be45dba170f12e69064023d6ef0e88dbde1764f6ba23e</x:v>
      </x:c>
      <x:c r="U153" s="9" t="str">
        <x:v>W_SKIRTS_AVGPAID_1500_1600_ANNUAL2026</x:v>
      </x:c>
      <x:c r="V153" s="9" t="str">
        <x:v>W_SKIRTS_AVGPAID_1500_1600_ANNUAL2026.xlsx / 默认 / 第430行 / SHA256 deede8b56943df4f914be45dba170f12e69064023d6ef0e88dbde1764f6ba23e</x:v>
      </x:c>
    </x:row>
    <x:row r="154" ht="58" customHeight="1">
      <x:c r="A154" s="23" t="str">
        <x:v>962971796039</x:v>
      </x:c>
      <x:c r="B154" s="22"/>
      <x:c r="C154" s="22"/>
      <x:c r="D154" s="22"/>
      <x:c r="E154" s="9" t="str">
        <x:v>裙长未明确</x:v>
      </x:c>
      <x:c r="F154" s="9" t="str">
        <x:v>裙装</x:v>
      </x:c>
      <x:c r="G154" s="9" t="str">
        <x:v>半身裙</x:v>
      </x:c>
      <x:c r="H154" s="9" t="str">
        <x:v>女</x:v>
      </x:c>
      <x:c r="I154" s="9" t="str">
        <x:v>Cello Sonata 秋冬 度假风法式金黄色系针织裙子拼纱半裙</x:v>
      </x:c>
      <x:c r="J154" s="9" t="str">
        <x:v>CELLO SONATA</x:v>
      </x:c>
      <x:c r="K154" s="24" t="n">
        <x:v>1302.74</x:v>
      </x:c>
      <x:c r="L154" s="25" t="e">
        <x:f>HYPERLINK("https://item.taobao.com/item.htm?id=962971796039","打开商品")</x:f>
        <x:v>HYPERLINK is not implemented. linkLocation=https://item.taobao.com/item.htm?id=962971796039, friendlyName=打开商品</x:v>
      </x:c>
      <x:c r="M154" s="25" t="e">
        <x:f>HYPERLINK("https://data.zhiyitech.cn/itemDetail/overview/base?itemId=962971796039","打开知衣")</x:f>
        <x:v>HYPERLINK is not implemented. linkLocation=https://data.zhiyitech.cn/itemDetail/overview/base?itemId=962971796039, friendlyName=打开知衣</x:v>
      </x:c>
      <x:c r="N154" s="25" t="e">
        <x:f>HYPERLINK("https://img.alicdn.com/bao/uploaded/i2/2212706705712/O1CN01QYEQU91s49PGuqEAJ_!!4611686018427380016-0-item_pic.jpg","查看主图")</x:f>
        <x:v>HYPERLINK is not implemented. linkLocation=https://img.alicdn.com/bao/uploaded/i2/2212706705712/O1CN01QYEQU91s49PGuqEAJ_!!4611686018427380016-0-item_pic.jpg, friendlyName=查看主图</x:v>
      </x:c>
      <x:c r="O154" s="9" t="str">
        <x:v>标题及既有类目语义复核；Cello Sonata 秋冬 度假风法式金黄色系针织裙子拼纱半裙；原类目及标题已能确认半身裙；展示使用已知大类，未知裙长下沉到结构字段，不强猜长短。</x:v>
      </x:c>
      <x:c r="P154" s="9" t="str">
        <x:v>普通男女装</x:v>
      </x:c>
      <x:c r="Q154" s="9" t="str">
        <x:v>W_SKIRTS_AVGPAID_1300_1400_ANNUAL2026.xlsx</x:v>
      </x:c>
      <x:c r="R154" s="9" t="str">
        <x:v>默认</x:v>
      </x:c>
      <x:c r="S154" s="9" t="n">
        <x:v>275</x:v>
      </x:c>
      <x:c r="T154" s="9" t="str">
        <x:v>bd4dae1e08e9eca7ddd0669235bf59107cdc418b9c2898fc16f36a7ab5748692</x:v>
      </x:c>
      <x:c r="U154" s="9" t="str">
        <x:v>W_SKIRTS_AVGPAID_1300_1400_ANNUAL2026</x:v>
      </x:c>
      <x:c r="V154" s="9" t="str">
        <x:v>W_SKIRTS_AVGPAID_1300_1400_ANNUAL2026.xlsx / 默认 / 第275行 / SHA256 bd4dae1e08e9eca7ddd0669235bf59107cdc418b9c2898fc16f36a7ab5748692</x:v>
      </x:c>
    </x:row>
    <x:row r="155" ht="58" customHeight="1">
      <x:c r="A155" s="23" t="str">
        <x:v>1010373292044</x:v>
      </x:c>
      <x:c r="B155" s="22"/>
      <x:c r="C155" s="22"/>
      <x:c r="D155" s="22"/>
      <x:c r="E155" s="9" t="str">
        <x:v>裙长未明确</x:v>
      </x:c>
      <x:c r="F155" s="9" t="str">
        <x:v>裙装</x:v>
      </x:c>
      <x:c r="G155" s="9" t="str">
        <x:v>半身裙</x:v>
      </x:c>
      <x:c r="H155" s="9" t="str">
        <x:v>女</x:v>
      </x:c>
      <x:c r="I155" s="9" t="str">
        <x:v>CHANDOOIVY进口头层羊反绒简约分割线细腻绒面百搭高腰A型半身裙</x:v>
      </x:c>
      <x:c r="J155" s="9" t="str">
        <x:v>CHANDOOIVY</x:v>
      </x:c>
      <x:c r="K155" s="24" t="n">
        <x:v>1535.26</x:v>
      </x:c>
      <x:c r="L155" s="25" t="e">
        <x:f>HYPERLINK("https://item.taobao.com/item.htm?id=1010373292044","打开商品")</x:f>
        <x:v>HYPERLINK is not implemented. linkLocation=https://item.taobao.com/item.htm?id=1010373292044, friendlyName=打开商品</x:v>
      </x:c>
      <x:c r="M155" s="25" t="e">
        <x:f>HYPERLINK("https://data.zhiyitech.cn/itemDetail/overview/base?itemId=1010373292044","打开知衣")</x:f>
        <x:v>HYPERLINK is not implemented. linkLocation=https://data.zhiyitech.cn/itemDetail/overview/base?itemId=1010373292044, friendlyName=打开知衣</x:v>
      </x:c>
      <x:c r="N155" s="25" t="e">
        <x:f>HYPERLINK("https://img.alicdn.com/bao/uploaded/i1/356392931/O1CN01fAF4pw1XWRz6eUH4e_!!356392931.jpg","查看主图")</x:f>
        <x:v>HYPERLINK is not implemented. linkLocation=https://img.alicdn.com/bao/uploaded/i1/356392931/O1CN01fAF4pw1XWRz6eUH4e_!!356392931.jpg, friendlyName=查看主图</x:v>
      </x:c>
      <x:c r="O155" s="9" t="str">
        <x:v>标题及既有类目语义复核；CHANDOOIVY进口头层羊反绒简约分割线细腻绒面百搭高腰A型半身裙；原类目及标题已能确认半身裙；展示使用已知大类，未知裙长下沉到结构字段，不强猜长短。</x:v>
      </x:c>
      <x:c r="P155" s="9" t="str">
        <x:v>普通男女装</x:v>
      </x:c>
      <x:c r="Q155" s="9" t="str">
        <x:v>W_SKIRTS_AVGPAID_1500_1600_ANNUAL2026.xlsx</x:v>
      </x:c>
      <x:c r="R155" s="9" t="str">
        <x:v>默认</x:v>
      </x:c>
      <x:c r="S155" s="9" t="n">
        <x:v>119</x:v>
      </x:c>
      <x:c r="T155" s="9" t="str">
        <x:v>deede8b56943df4f914be45dba170f12e69064023d6ef0e88dbde1764f6ba23e</x:v>
      </x:c>
      <x:c r="U155" s="9" t="str">
        <x:v>W_SKIRTS_AVGPAID_1500_1600_ANNUAL2026</x:v>
      </x:c>
      <x:c r="V155" s="9" t="str">
        <x:v>W_SKIRTS_AVGPAID_1500_1600_ANNUAL2026.xlsx / 默认 / 第119行 / SHA256 deede8b56943df4f914be45dba170f12e69064023d6ef0e88dbde1764f6ba23e</x:v>
      </x:c>
    </x:row>
    <x:row r="156" ht="58" customHeight="1">
      <x:c r="A156" s="23" t="str">
        <x:v>1063036619632</x:v>
      </x:c>
      <x:c r="B156" s="22"/>
      <x:c r="C156" s="22"/>
      <x:c r="D156" s="22"/>
      <x:c r="E156" s="9" t="str">
        <x:v>裙长未明确</x:v>
      </x:c>
      <x:c r="F156" s="9" t="str">
        <x:v>裙装</x:v>
      </x:c>
      <x:c r="G156" s="9" t="str">
        <x:v>半身裙</x:v>
      </x:c>
      <x:c r="H156" s="9" t="str">
        <x:v>女</x:v>
      </x:c>
      <x:c r="I156" s="9" t="str">
        <x:v>CHICJOC限量超重工耗料褶裥_重磅24MM双层真丝_复古90S腰封半身裙</x:v>
      </x:c>
      <x:c r="J156" s="9" t="str">
        <x:v>CHICJOC</x:v>
      </x:c>
      <x:c r="K156" s="24" t="n">
        <x:v>1727.32</x:v>
      </x:c>
      <x:c r="L156" s="25" t="e">
        <x:f>HYPERLINK("https://item.taobao.com/item.htm?id=1063036619632","打开商品")</x:f>
        <x:v>HYPERLINK is not implemented. linkLocation=https://item.taobao.com/item.htm?id=1063036619632, friendlyName=打开商品</x:v>
      </x:c>
      <x:c r="M156" s="25" t="e">
        <x:f>HYPERLINK("https://data.zhiyitech.cn/itemDetail/overview/base?itemId=1063036619632","打开知衣")</x:f>
        <x:v>HYPERLINK is not implemented. linkLocation=https://data.zhiyitech.cn/itemDetail/overview/base?itemId=1063036619632, friendlyName=打开知衣</x:v>
      </x:c>
      <x:c r="N156" s="25" t="e">
        <x:f>HYPERLINK("https://img.alicdn.com/bao/uploaded/i4/1127434297/O1CN014zUDRpfmG5F2vH2e_!!1127434297.png","查看主图")</x:f>
        <x:v>HYPERLINK is not implemented. linkLocation=https://img.alicdn.com/bao/uploaded/i4/1127434297/O1CN014zUDRpfmG5F2vH2e_!!1127434297.png, friendlyName=查看主图</x:v>
      </x:c>
      <x:c r="O156" s="9" t="str">
        <x:v>标题及既有类目语义复核；CHICJOC限量超重工耗料褶裥_重磅24MM双层真丝_复古90S腰封半身裙；原类目及标题已能确认半身裙；展示使用已知大类，未知裙长下沉到结构字段，不强猜长短。</x:v>
      </x:c>
      <x:c r="P156" s="9" t="str">
        <x:v>普通男女装</x:v>
      </x:c>
      <x:c r="Q156" s="9" t="str">
        <x:v>W_SKIRTS_AVGPAID_1700_1800_ANNUAL2026.xlsx</x:v>
      </x:c>
      <x:c r="R156" s="9" t="str">
        <x:v>默认</x:v>
      </x:c>
      <x:c r="S156" s="9" t="n">
        <x:v>21</x:v>
      </x:c>
      <x:c r="T156" s="9" t="str">
        <x:v>c25ed77c53c7c5cfcf728778a0e9b297d8689503f62756a939cbd534ca9b587a</x:v>
      </x:c>
      <x:c r="U156" s="9" t="str">
        <x:v>W_SKIRTS_AVGPAID_1700_1800_ANNUAL2026</x:v>
      </x:c>
      <x:c r="V156" s="9" t="str">
        <x:v>W_SKIRTS_AVGPAID_1700_1800_ANNUAL2026.xlsx / 默认 / 第21行 / SHA256 c25ed77c53c7c5cfcf728778a0e9b297d8689503f62756a939cbd534ca9b587a</x:v>
      </x:c>
    </x:row>
    <x:row r="157" ht="58" customHeight="1">
      <x:c r="A157" s="23" t="str">
        <x:v>1069444033381</x:v>
      </x:c>
      <x:c r="B157" s="22"/>
      <x:c r="C157" s="22"/>
      <x:c r="D157" s="22"/>
      <x:c r="E157" s="9" t="str">
        <x:v>裙长未明确</x:v>
      </x:c>
      <x:c r="F157" s="9" t="str">
        <x:v>裙装</x:v>
      </x:c>
      <x:c r="G157" s="9" t="str">
        <x:v>半身裙</x:v>
      </x:c>
      <x:c r="H157" s="9" t="str">
        <x:v>女</x:v>
      </x:c>
      <x:c r="I157" s="9" t="str">
        <x:v>CHICJOC超耗料立裁轻量感塔夫绸_手工双层花边不规则褶裥拼接半裙</x:v>
      </x:c>
      <x:c r="J157" s="9" t="str">
        <x:v>CHICJOC</x:v>
      </x:c>
      <x:c r="K157" s="24" t="n">
        <x:v>1367.25</x:v>
      </x:c>
      <x:c r="L157" s="25" t="e">
        <x:f>HYPERLINK("https://item.taobao.com/item.htm?id=1069444033381","打开商品")</x:f>
        <x:v>HYPERLINK is not implemented. linkLocation=https://item.taobao.com/item.htm?id=1069444033381, friendlyName=打开商品</x:v>
      </x:c>
      <x:c r="M157" s="25" t="e">
        <x:f>HYPERLINK("https://data.zhiyitech.cn/itemDetail/overview/base?itemId=1069444033381","打开知衣")</x:f>
        <x:v>HYPERLINK is not implemented. linkLocation=https://data.zhiyitech.cn/itemDetail/overview/base?itemId=1069444033381, friendlyName=打开知衣</x:v>
      </x:c>
      <x:c r="N157" s="25" t="e">
        <x:f>HYPERLINK("https://img.alicdn.com/bao/uploaded/i3/1127434297/O1CN01t5Hhpo1hc53COG1fF_!!1127434297.jpg","查看主图")</x:f>
        <x:v>HYPERLINK is not implemented. linkLocation=https://img.alicdn.com/bao/uploaded/i3/1127434297/O1CN01t5Hhpo1hc53COG1fF_!!1127434297.jpg, friendlyName=查看主图</x:v>
      </x:c>
      <x:c r="O157" s="9" t="str">
        <x:v>标题及既有类目语义复核；CHICJOC超耗料立裁轻量感塔夫绸_手工双层花边不规则褶裥拼接半裙；原类目及标题已能确认半身裙；展示使用已知大类，未知裙长下沉到结构字段，不强猜长短。</x:v>
      </x:c>
      <x:c r="P157" s="9" t="str">
        <x:v>普通男女装</x:v>
      </x:c>
      <x:c r="Q157" s="9" t="str">
        <x:v>W_SKIRTS_AVGPAID_1300_1400_ANNUAL2026.xlsx</x:v>
      </x:c>
      <x:c r="R157" s="9" t="str">
        <x:v>默认</x:v>
      </x:c>
      <x:c r="S157" s="9" t="n">
        <x:v>27</x:v>
      </x:c>
      <x:c r="T157" s="9" t="str">
        <x:v>bd4dae1e08e9eca7ddd0669235bf59107cdc418b9c2898fc16f36a7ab5748692</x:v>
      </x:c>
      <x:c r="U157" s="9" t="str">
        <x:v>W_SKIRTS_AVGPAID_1300_1400_ANNUAL2026</x:v>
      </x:c>
      <x:c r="V157" s="9" t="str">
        <x:v>W_SKIRTS_AVGPAID_1300_1400_ANNUAL2026.xlsx / 默认 / 第27行 / SHA256 bd4dae1e08e9eca7ddd0669235bf59107cdc418b9c2898fc16f36a7ab5748692</x:v>
      </x:c>
    </x:row>
    <x:row r="158" ht="58" customHeight="1">
      <x:c r="A158" s="23" t="str">
        <x:v>1086542916437</x:v>
      </x:c>
      <x:c r="B158" s="22"/>
      <x:c r="C158" s="22"/>
      <x:c r="D158" s="22"/>
      <x:c r="E158" s="9" t="str">
        <x:v>裙长未明确</x:v>
      </x:c>
      <x:c r="F158" s="9" t="str">
        <x:v>裙装</x:v>
      </x:c>
      <x:c r="G158" s="9" t="str">
        <x:v>半身裙</x:v>
      </x:c>
      <x:c r="H158" s="9" t="str">
        <x:v>女</x:v>
      </x:c>
      <x:c r="I158" s="9" t="str">
        <x:v>CHICJOC立裁耗料50MM双层_真丝毛重绉+真丝里布_秋冬蝶翼飘片半裙</x:v>
      </x:c>
      <x:c r="J158" s="9" t="str">
        <x:v>CHICJOC</x:v>
      </x:c>
      <x:c r="K158" s="24" t="n">
        <x:v>1737.57</x:v>
      </x:c>
      <x:c r="L158" s="25" t="e">
        <x:f>HYPERLINK("https://item.taobao.com/item.htm?id=1086542916437","打开商品")</x:f>
        <x:v>HYPERLINK is not implemented. linkLocation=https://item.taobao.com/item.htm?id=1086542916437, friendlyName=打开商品</x:v>
      </x:c>
      <x:c r="M158" s="25" t="e">
        <x:f>HYPERLINK("https://data.zhiyitech.cn/itemDetail/overview/base?itemId=1086542916437","打开知衣")</x:f>
        <x:v>HYPERLINK is not implemented. linkLocation=https://data.zhiyitech.cn/itemDetail/overview/base?itemId=1086542916437, friendlyName=打开知衣</x:v>
      </x:c>
      <x:c r="N158" s="25" t="e">
        <x:f>HYPERLINK("https://img.alicdn.com/bao/uploaded/i3/1127434297/O1CN01d3ChNIPkvIJ2vH2e_!!1127434297.jpg","查看主图")</x:f>
        <x:v>HYPERLINK is not implemented. linkLocation=https://img.alicdn.com/bao/uploaded/i3/1127434297/O1CN01d3ChNIPkvIJ2vH2e_!!1127434297.jpg, friendlyName=查看主图</x:v>
      </x:c>
      <x:c r="O158" s="9" t="str">
        <x:v>标题及既有类目语义复核；CHICJOC立裁耗料50MM双层_真丝毛重绉+真丝里布_秋冬蝶翼飘片半裙；原类目及标题已能确认半身裙；展示使用已知大类，未知裙长下沉到结构字段，不强猜长短。</x:v>
      </x:c>
      <x:c r="P158" s="9" t="str">
        <x:v>普通男女装</x:v>
      </x:c>
      <x:c r="Q158" s="9" t="str">
        <x:v>W_SKIRTS_AVGPAID_1700_1800_ANNUAL2026.xlsx</x:v>
      </x:c>
      <x:c r="R158" s="9" t="str">
        <x:v>默认</x:v>
      </x:c>
      <x:c r="S158" s="9" t="n">
        <x:v>51</x:v>
      </x:c>
      <x:c r="T158" s="9" t="str">
        <x:v>c25ed77c53c7c5cfcf728778a0e9b297d8689503f62756a939cbd534ca9b587a</x:v>
      </x:c>
      <x:c r="U158" s="9" t="str">
        <x:v>W_SKIRTS_AVGPAID_1700_1800_ANNUAL2026</x:v>
      </x:c>
      <x:c r="V158" s="9" t="str">
        <x:v>W_SKIRTS_AVGPAID_1700_1800_ANNUAL2026.xlsx / 默认 / 第51行 / SHA256 c25ed77c53c7c5cfcf728778a0e9b297d8689503f62756a939cbd534ca9b587a</x:v>
      </x:c>
    </x:row>
    <x:row r="159" ht="58" customHeight="1">
      <x:c r="A159" s="23" t="str">
        <x:v>1092470210281</x:v>
      </x:c>
      <x:c r="B159" s="22"/>
      <x:c r="C159" s="22"/>
      <x:c r="D159" s="22"/>
      <x:c r="E159" s="9" t="str">
        <x:v>裙长未明确</x:v>
      </x:c>
      <x:c r="F159" s="9" t="str">
        <x:v>裙装</x:v>
      </x:c>
      <x:c r="G159" s="9" t="str">
        <x:v>半身裙</x:v>
      </x:c>
      <x:c r="H159" s="9" t="str">
        <x:v>女</x:v>
      </x:c>
      <x:c r="I159" s="9" t="str">
        <x:v>CHICJOCx海外线|重工切割多层飘片镂空刺绣_欧洲精纺羊毛解构半裙</x:v>
      </x:c>
      <x:c r="J159" s="9" t="str">
        <x:v>CHICJOC</x:v>
      </x:c>
      <x:c r="K159" s="24" t="n">
        <x:v>1597.52</x:v>
      </x:c>
      <x:c r="L159" s="25" t="e">
        <x:f>HYPERLINK("https://item.taobao.com/item.htm?id=1092470210281","打开商品")</x:f>
        <x:v>HYPERLINK is not implemented. linkLocation=https://item.taobao.com/item.htm?id=1092470210281, friendlyName=打开商品</x:v>
      </x:c>
      <x:c r="M159" s="25" t="e">
        <x:f>HYPERLINK("https://data.zhiyitech.cn/itemDetail/overview/base?itemId=1092470210281","打开知衣")</x:f>
        <x:v>HYPERLINK is not implemented. linkLocation=https://data.zhiyitech.cn/itemDetail/overview/base?itemId=1092470210281, friendlyName=打开知衣</x:v>
      </x:c>
      <x:c r="N159" s="25" t="e">
        <x:f>HYPERLINK("https://img.alicdn.com/bao/uploaded/i2/1127434297/O1CN01CpNy2YnJ0cK2vH2e_!!1127434297.jpg","查看主图")</x:f>
        <x:v>HYPERLINK is not implemented. linkLocation=https://img.alicdn.com/bao/uploaded/i2/1127434297/O1CN01CpNy2YnJ0cK2vH2e_!!1127434297.jpg, friendlyName=查看主图</x:v>
      </x:c>
      <x:c r="O159" s="9" t="str">
        <x:v>标题及既有类目语义复核；CHICJOCx海外线|重工切割多层飘片镂空刺绣_欧洲精纺羊毛解构半裙；原类目及标题已能确认半身裙；展示使用已知大类，未知裙长下沉到结构字段，不强猜长短。</x:v>
      </x:c>
      <x:c r="P159" s="9" t="str">
        <x:v>普通男女装</x:v>
      </x:c>
      <x:c r="Q159" s="9" t="str">
        <x:v>W_SKIRTS_AVGPAID_1500_1600_ANNUAL2026.xlsx</x:v>
      </x:c>
      <x:c r="R159" s="9" t="str">
        <x:v>默认</x:v>
      </x:c>
      <x:c r="S159" s="9" t="n">
        <x:v>431</x:v>
      </x:c>
      <x:c r="T159" s="9" t="str">
        <x:v>deede8b56943df4f914be45dba170f12e69064023d6ef0e88dbde1764f6ba23e</x:v>
      </x:c>
      <x:c r="U159" s="9" t="str">
        <x:v>W_SKIRTS_AVGPAID_1500_1600_ANNUAL2026</x:v>
      </x:c>
      <x:c r="V159" s="9" t="str">
        <x:v>W_SKIRTS_AVGPAID_1500_1600_ANNUAL2026.xlsx / 默认 / 第431行 / SHA256 deede8b56943df4f914be45dba170f12e69064023d6ef0e88dbde1764f6ba23e</x:v>
      </x:c>
    </x:row>
    <x:row r="160" ht="58" customHeight="1">
      <x:c r="A160" s="23" t="str">
        <x:v>1094618732424</x:v>
      </x:c>
      <x:c r="B160" s="22"/>
      <x:c r="C160" s="22"/>
      <x:c r="D160" s="22"/>
      <x:c r="E160" s="9" t="str">
        <x:v>裙长未明确</x:v>
      </x:c>
      <x:c r="F160" s="9" t="str">
        <x:v>裙装</x:v>
      </x:c>
      <x:c r="G160" s="9" t="str">
        <x:v>半身裙</x:v>
      </x:c>
      <x:c r="H160" s="9" t="str">
        <x:v>女</x:v>
      </x:c>
      <x:c r="I160" s="9" t="str">
        <x:v>CHICJOCx海外线|欧洲厚密羊毛呢/羊毛法兰绒_手裁2种真丝流苏半裙</x:v>
      </x:c>
      <x:c r="J160" s="9" t="str">
        <x:v>CHICJOC</x:v>
      </x:c>
      <x:c r="K160" s="24" t="n">
        <x:v>1548.05</x:v>
      </x:c>
      <x:c r="L160" s="25" t="e">
        <x:f>HYPERLINK("https://item.taobao.com/item.htm?id=1094618732424","打开商品")</x:f>
        <x:v>HYPERLINK is not implemented. linkLocation=https://item.taobao.com/item.htm?id=1094618732424, friendlyName=打开商品</x:v>
      </x:c>
      <x:c r="M160" s="25" t="e">
        <x:f>HYPERLINK("https://data.zhiyitech.cn/itemDetail/overview/base?itemId=1094618732424","打开知衣")</x:f>
        <x:v>HYPERLINK is not implemented. linkLocation=https://data.zhiyitech.cn/itemDetail/overview/base?itemId=1094618732424, friendlyName=打开知衣</x:v>
      </x:c>
      <x:c r="N160" s="25" t="e">
        <x:f>HYPERLINK("https://img.alicdn.com/bao/uploaded/i3/1127434297/O1CN01PR0y2pEZU0H2vH2e_!!1127434297.jpg","查看主图")</x:f>
        <x:v>HYPERLINK is not implemented. linkLocation=https://img.alicdn.com/bao/uploaded/i3/1127434297/O1CN01PR0y2pEZU0H2vH2e_!!1127434297.jpg, friendlyName=查看主图</x:v>
      </x:c>
      <x:c r="O160" s="9" t="str">
        <x:v>标题及既有类目语义复核；CHICJOCx海外线|欧洲厚密羊毛呢/羊毛法兰绒_手裁2种真丝流苏半裙；原类目及标题已能确认半身裙；展示使用已知大类，未知裙长下沉到结构字段，不强猜长短。</x:v>
      </x:c>
      <x:c r="P160" s="9" t="str">
        <x:v>普通男女装</x:v>
      </x:c>
      <x:c r="Q160" s="9" t="str">
        <x:v>W_SKIRTS_AVGPAID_1500_1600_ANNUAL2026.xlsx</x:v>
      </x:c>
      <x:c r="R160" s="9" t="str">
        <x:v>默认</x:v>
      </x:c>
      <x:c r="S160" s="9" t="n">
        <x:v>110</x:v>
      </x:c>
      <x:c r="T160" s="9" t="str">
        <x:v>deede8b56943df4f914be45dba170f12e69064023d6ef0e88dbde1764f6ba23e</x:v>
      </x:c>
      <x:c r="U160" s="9" t="str">
        <x:v>W_SKIRTS_AVGPAID_1500_1600_ANNUAL2026</x:v>
      </x:c>
      <x:c r="V160" s="9" t="str">
        <x:v>W_SKIRTS_AVGPAID_1500_1600_ANNUAL2026.xlsx / 默认 / 第110行 / SHA256 deede8b56943df4f914be45dba170f12e69064023d6ef0e88dbde1764f6ba23e</x:v>
      </x:c>
    </x:row>
    <x:row r="161" ht="58" customHeight="1">
      <x:c r="A161" s="23" t="str">
        <x:v>1094619712558</x:v>
      </x:c>
      <x:c r="B161" s="22"/>
      <x:c r="C161" s="22"/>
      <x:c r="D161" s="22"/>
      <x:c r="E161" s="9" t="str">
        <x:v>裙长未明确</x:v>
      </x:c>
      <x:c r="F161" s="9" t="str">
        <x:v>裙装</x:v>
      </x:c>
      <x:c r="G161" s="9" t="str">
        <x:v>半身裙</x:v>
      </x:c>
      <x:c r="H161" s="9" t="str">
        <x:v>女</x:v>
      </x:c>
      <x:c r="I161" s="9" t="str">
        <x:v>CHICJOC限量真2件P牌手工水晶感吊坠钉珠意大利精纺羊毛+真丝半裙</x:v>
      </x:c>
      <x:c r="J161" s="9" t="str">
        <x:v>CHICJOC</x:v>
      </x:c>
      <x:c r="K161" s="24" t="n">
        <x:v>1779.78</x:v>
      </x:c>
      <x:c r="L161" s="25" t="e">
        <x:f>HYPERLINK("https://item.taobao.com/item.htm?id=1094619712558","打开商品")</x:f>
        <x:v>HYPERLINK is not implemented. linkLocation=https://item.taobao.com/item.htm?id=1094619712558, friendlyName=打开商品</x:v>
      </x:c>
      <x:c r="M161" s="25" t="e">
        <x:f>HYPERLINK("https://data.zhiyitech.cn/itemDetail/overview/base?itemId=1094619712558","打开知衣")</x:f>
        <x:v>HYPERLINK is not implemented. linkLocation=https://data.zhiyitech.cn/itemDetail/overview/base?itemId=1094619712558, friendlyName=打开知衣</x:v>
      </x:c>
      <x:c r="N161" s="25" t="e">
        <x:f>HYPERLINK("https://img.alicdn.com/bao/uploaded/i3/1127434297/O1CN01WV2n67zXAzC2vH2e_!!1127434297.jpg","查看主图")</x:f>
        <x:v>HYPERLINK is not implemented. linkLocation=https://img.alicdn.com/bao/uploaded/i3/1127434297/O1CN01WV2n67zXAzC2vH2e_!!1127434297.jpg, friendlyName=查看主图</x:v>
      </x:c>
      <x:c r="O161" s="9" t="str">
        <x:v>标题及既有类目语义复核；CHICJOC限量真2件P牌手工水晶感吊坠钉珠意大利精纺羊毛+真丝半裙；原类目及标题已能确认半身裙；展示使用已知大类，未知裙长下沉到结构字段，不强猜长短。</x:v>
      </x:c>
      <x:c r="P161" s="9" t="str">
        <x:v>普通男女装</x:v>
      </x:c>
      <x:c r="Q161" s="9" t="str">
        <x:v>W_SKIRTS_AVGPAID_1700_1800_ANNUAL2026.xlsx</x:v>
      </x:c>
      <x:c r="R161" s="9" t="str">
        <x:v>默认</x:v>
      </x:c>
      <x:c r="S161" s="9" t="n">
        <x:v>37</x:v>
      </x:c>
      <x:c r="T161" s="9" t="str">
        <x:v>c25ed77c53c7c5cfcf728778a0e9b297d8689503f62756a939cbd534ca9b587a</x:v>
      </x:c>
      <x:c r="U161" s="9" t="str">
        <x:v>W_SKIRTS_AVGPAID_1700_1800_ANNUAL2026</x:v>
      </x:c>
      <x:c r="V161" s="9" t="str">
        <x:v>W_SKIRTS_AVGPAID_1700_1800_ANNUAL2026.xlsx / 默认 / 第37行 / SHA256 c25ed77c53c7c5cfcf728778a0e9b297d8689503f62756a939cbd534ca9b587a</x:v>
      </x:c>
    </x:row>
    <x:row r="162" ht="58" customHeight="1">
      <x:c r="A162" s="23" t="str">
        <x:v>656905061508</x:v>
      </x:c>
      <x:c r="B162" s="22"/>
      <x:c r="C162" s="22"/>
      <x:c r="D162" s="22"/>
      <x:c r="E162" s="9" t="str">
        <x:v>裙长未明确</x:v>
      </x:c>
      <x:c r="F162" s="9" t="str">
        <x:v>裙装</x:v>
      </x:c>
      <x:c r="G162" s="9" t="str">
        <x:v>半身裙</x:v>
      </x:c>
      <x:c r="H162" s="9" t="str">
        <x:v>女</x:v>
      </x:c>
      <x:c r="I162" s="9" t="str">
        <x:v>CHICJOC 独家定制高端Plonge羔羊皮料 前后开衩 J简风显瘦半身裙</x:v>
      </x:c>
      <x:c r="J162" s="9" t="str">
        <x:v>CHICJOC</x:v>
      </x:c>
      <x:c r="K162" s="24" t="n">
        <x:v>1765.51</x:v>
      </x:c>
      <x:c r="L162" s="25" t="e">
        <x:f>HYPERLINK("https://item.taobao.com/item.htm?id=656905061508","打开商品")</x:f>
        <x:v>HYPERLINK is not implemented. linkLocation=https://item.taobao.com/item.htm?id=656905061508, friendlyName=打开商品</x:v>
      </x:c>
      <x:c r="M162" s="25" t="e">
        <x:f>HYPERLINK("https://data.zhiyitech.cn/itemDetail/overview/base?itemId=656905061508","打开知衣")</x:f>
        <x:v>HYPERLINK is not implemented. linkLocation=https://data.zhiyitech.cn/itemDetail/overview/base?itemId=656905061508, friendlyName=打开知衣</x:v>
      </x:c>
      <x:c r="N162" s="25" t="e">
        <x:f>HYPERLINK("https://img.alicdn.com/bao/uploaded/i1/1127434297/O1CN01ptQgP91hc4fFQYtfJ_!!1127434297.jpg","查看主图")</x:f>
        <x:v>HYPERLINK is not implemented. linkLocation=https://img.alicdn.com/bao/uploaded/i1/1127434297/O1CN01ptQgP91hc4fFQYtfJ_!!1127434297.jpg, friendlyName=查看主图</x:v>
      </x:c>
      <x:c r="O162" s="9" t="str">
        <x:v>标题及既有类目语义复核；CHICJOC 独家定制高端Plonge羔羊皮料 前后开衩 J简风显瘦半身裙；原类目及标题已能确认半身裙；展示使用已知大类，未知裙长下沉到结构字段，不强猜长短。</x:v>
      </x:c>
      <x:c r="P162" s="9" t="str">
        <x:v>普通男女装</x:v>
      </x:c>
      <x:c r="Q162" s="9" t="str">
        <x:v>W_SKIRTS_AVGPAID_1700_1800_ANNUAL2026.xlsx</x:v>
      </x:c>
      <x:c r="R162" s="9" t="str">
        <x:v>默认</x:v>
      </x:c>
      <x:c r="S162" s="9" t="n">
        <x:v>483</x:v>
      </x:c>
      <x:c r="T162" s="9" t="str">
        <x:v>c25ed77c53c7c5cfcf728778a0e9b297d8689503f62756a939cbd534ca9b587a</x:v>
      </x:c>
      <x:c r="U162" s="9" t="str">
        <x:v>W_SKIRTS_AVGPAID_1700_1800_ANNUAL2026</x:v>
      </x:c>
      <x:c r="V162" s="9" t="str">
        <x:v>W_SKIRTS_AVGPAID_1700_1800_ANNUAL2026.xlsx / 默认 / 第483行 / SHA256 c25ed77c53c7c5cfcf728778a0e9b297d8689503f62756a939cbd534ca9b587a</x:v>
      </x:c>
    </x:row>
    <x:row r="163" ht="58" customHeight="1">
      <x:c r="A163" s="23" t="str">
        <x:v>723576684507</x:v>
      </x:c>
      <x:c r="B163" s="22"/>
      <x:c r="C163" s="22"/>
      <x:c r="D163" s="22"/>
      <x:c r="E163" s="9" t="str">
        <x:v>裙长未明确</x:v>
      </x:c>
      <x:c r="F163" s="9" t="str">
        <x:v>裙装</x:v>
      </x:c>
      <x:c r="G163" s="9" t="str">
        <x:v>半身裙</x:v>
      </x:c>
      <x:c r="H163" s="9" t="str">
        <x:v>女</x:v>
      </x:c>
      <x:c r="I163" s="9" t="str">
        <x:v>CHICJOC高端真丝乔其_重磅耗料 层次感绵云抽褶上衣/松紧腰半裙</x:v>
      </x:c>
      <x:c r="J163" s="9" t="str">
        <x:v>CHICJOC</x:v>
      </x:c>
      <x:c r="K163" s="24" t="n">
        <x:v>1355.05</x:v>
      </x:c>
      <x:c r="L163" s="25" t="e">
        <x:f>HYPERLINK("https://item.taobao.com/item.htm?id=723576684507","打开商品")</x:f>
        <x:v>HYPERLINK is not implemented. linkLocation=https://item.taobao.com/item.htm?id=723576684507, friendlyName=打开商品</x:v>
      </x:c>
      <x:c r="M163" s="25" t="e">
        <x:f>HYPERLINK("https://data.zhiyitech.cn/itemDetail/overview/base?itemId=723576684507","打开知衣")</x:f>
        <x:v>HYPERLINK is not implemented. linkLocation=https://data.zhiyitech.cn/itemDetail/overview/base?itemId=723576684507, friendlyName=打开知衣</x:v>
      </x:c>
      <x:c r="N163" s="25" t="e">
        <x:f>HYPERLINK("https://img.alicdn.com/bao/uploaded/i3/1127434297/O1CN01yts9UzkVZdG2vH2e_!!1127434297.jpg","查看主图")</x:f>
        <x:v>HYPERLINK is not implemented. linkLocation=https://img.alicdn.com/bao/uploaded/i3/1127434297/O1CN01yts9UzkVZdG2vH2e_!!1127434297.jpg, friendlyName=查看主图</x:v>
      </x:c>
      <x:c r="O163" s="9" t="str">
        <x:v>标题及既有类目语义复核；CHICJOC高端真丝乔其_重磅耗料 层次感绵云抽褶上衣/松紧腰半裙；原类目及标题已能确认半身裙；展示使用已知大类，未知裙长下沉到结构字段，不强猜长短。</x:v>
      </x:c>
      <x:c r="P163" s="9" t="str">
        <x:v>普通男女装</x:v>
      </x:c>
      <x:c r="Q163" s="9" t="str">
        <x:v>W_SKIRTS_AVGPAID_1300_1400_ANNUAL2026.xlsx</x:v>
      </x:c>
      <x:c r="R163" s="9" t="str">
        <x:v>默认</x:v>
      </x:c>
      <x:c r="S163" s="9" t="n">
        <x:v>36</x:v>
      </x:c>
      <x:c r="T163" s="9" t="str">
        <x:v>bd4dae1e08e9eca7ddd0669235bf59107cdc418b9c2898fc16f36a7ab5748692</x:v>
      </x:c>
      <x:c r="U163" s="9" t="str">
        <x:v>W_SKIRTS_AVGPAID_1300_1400_ANNUAL2026</x:v>
      </x:c>
      <x:c r="V163" s="9" t="str">
        <x:v>W_SKIRTS_AVGPAID_1300_1400_ANNUAL2026.xlsx / 默认 / 第36行 / SHA256 bd4dae1e08e9eca7ddd0669235bf59107cdc418b9c2898fc16f36a7ab5748692</x:v>
      </x:c>
    </x:row>
    <x:row r="164" ht="58" customHeight="1">
      <x:c r="A164" s="23" t="str">
        <x:v>809097179595</x:v>
      </x:c>
      <x:c r="B164" s="22"/>
      <x:c r="C164" s="22"/>
      <x:c r="D164" s="22"/>
      <x:c r="E164" s="9" t="str">
        <x:v>裙长未明确</x:v>
      </x:c>
      <x:c r="F164" s="9" t="str">
        <x:v>裙装</x:v>
      </x:c>
      <x:c r="G164" s="9" t="str">
        <x:v>半身裙</x:v>
      </x:c>
      <x:c r="H164" s="9" t="str">
        <x:v>女</x:v>
      </x:c>
      <x:c r="I164" s="9" t="str">
        <x:v>CHICJOC专柜重磅双绉真丝 极简静奢重工艺术打揽褶皱纸片人半身裙</x:v>
      </x:c>
      <x:c r="J164" s="9" t="str">
        <x:v>CHICJOC</x:v>
      </x:c>
      <x:c r="K164" s="24" t="n">
        <x:v>1335.98</x:v>
      </x:c>
      <x:c r="L164" s="25" t="e">
        <x:f>HYPERLINK("https://item.taobao.com/item.htm?id=809097179595","打开商品")</x:f>
        <x:v>HYPERLINK is not implemented. linkLocation=https://item.taobao.com/item.htm?id=809097179595, friendlyName=打开商品</x:v>
      </x:c>
      <x:c r="M164" s="25" t="e">
        <x:f>HYPERLINK("https://data.zhiyitech.cn/itemDetail/overview/base?itemId=809097179595","打开知衣")</x:f>
        <x:v>HYPERLINK is not implemented. linkLocation=https://data.zhiyitech.cn/itemDetail/overview/base?itemId=809097179595, friendlyName=打开知衣</x:v>
      </x:c>
      <x:c r="N164" s="25" t="e">
        <x:f>HYPERLINK("https://img.alicdn.com/bao/uploaded/i4/1127434297/O1CN01LC0hl01hc4rfSS0ZO_!!1127434297.jpg","查看主图")</x:f>
        <x:v>HYPERLINK is not implemented. linkLocation=https://img.alicdn.com/bao/uploaded/i4/1127434297/O1CN01LC0hl01hc4rfSS0ZO_!!1127434297.jpg, friendlyName=查看主图</x:v>
      </x:c>
      <x:c r="O164" s="9" t="str">
        <x:v>标题及既有类目语义复核；CHICJOC专柜重磅双绉真丝 极简静奢重工艺术打揽褶皱纸片人半身裙；原类目及标题已能确认半身裙；展示使用已知大类，未知裙长下沉到结构字段，不强猜长短。</x:v>
      </x:c>
      <x:c r="P164" s="9" t="str">
        <x:v>普通男女装</x:v>
      </x:c>
      <x:c r="Q164" s="9" t="str">
        <x:v>W_SKIRTS_AVGPAID_1300_1400_ANNUAL2026.xlsx</x:v>
      </x:c>
      <x:c r="R164" s="9" t="str">
        <x:v>默认</x:v>
      </x:c>
      <x:c r="S164" s="9" t="n">
        <x:v>187</x:v>
      </x:c>
      <x:c r="T164" s="9" t="str">
        <x:v>bd4dae1e08e9eca7ddd0669235bf59107cdc418b9c2898fc16f36a7ab5748692</x:v>
      </x:c>
      <x:c r="U164" s="9" t="str">
        <x:v>W_SKIRTS_AVGPAID_1300_1400_ANNUAL2026</x:v>
      </x:c>
      <x:c r="V164" s="9" t="str">
        <x:v>W_SKIRTS_AVGPAID_1300_1400_ANNUAL2026.xlsx / 默认 / 第187行 / SHA256 bd4dae1e08e9eca7ddd0669235bf59107cdc418b9c2898fc16f36a7ab5748692</x:v>
      </x:c>
    </x:row>
    <x:row r="165" ht="58" customHeight="1">
      <x:c r="A165" s="23" t="str">
        <x:v>818565720515</x:v>
      </x:c>
      <x:c r="B165" s="22"/>
      <x:c r="C165" s="22"/>
      <x:c r="D165" s="22"/>
      <x:c r="E165" s="9" t="str">
        <x:v>裙长未明确</x:v>
      </x:c>
      <x:c r="F165" s="9" t="str">
        <x:v>裙装</x:v>
      </x:c>
      <x:c r="G165" s="9" t="str">
        <x:v>半身裙</x:v>
      </x:c>
      <x:c r="H165" s="9" t="str">
        <x:v>女</x:v>
      </x:c>
      <x:c r="I165" s="9" t="str">
        <x:v>CHICJOC专柜意大利透感羊毛+真丝静奢风莫兰迪拼色一片式双层半裙</x:v>
      </x:c>
      <x:c r="J165" s="9" t="str">
        <x:v>CHICJOC</x:v>
      </x:c>
      <x:c r="K165" s="24" t="n">
        <x:v>1324.59</x:v>
      </x:c>
      <x:c r="L165" s="25" t="e">
        <x:f>HYPERLINK("https://item.taobao.com/item.htm?id=818565720515","打开商品")</x:f>
        <x:v>HYPERLINK is not implemented. linkLocation=https://item.taobao.com/item.htm?id=818565720515, friendlyName=打开商品</x:v>
      </x:c>
      <x:c r="M165" s="25" t="e">
        <x:f>HYPERLINK("https://data.zhiyitech.cn/itemDetail/overview/base?itemId=818565720515","打开知衣")</x:f>
        <x:v>HYPERLINK is not implemented. linkLocation=https://data.zhiyitech.cn/itemDetail/overview/base?itemId=818565720515, friendlyName=打开知衣</x:v>
      </x:c>
      <x:c r="N165" s="25" t="e">
        <x:f>HYPERLINK("https://img.alicdn.com/bao/uploaded/i4/1127434297/O1CN01p73k0M1hc4s7aTlny_!!1127434297.jpg","查看主图")</x:f>
        <x:v>HYPERLINK is not implemented. linkLocation=https://img.alicdn.com/bao/uploaded/i4/1127434297/O1CN01p73k0M1hc4s7aTlny_!!1127434297.jpg, friendlyName=查看主图</x:v>
      </x:c>
      <x:c r="O165" s="9" t="str">
        <x:v>标题及既有类目语义复核；CHICJOC专柜意大利透感羊毛+真丝静奢风莫兰迪拼色一片式双层半裙；原类目及标题已能确认半身裙；展示使用已知大类，未知裙长下沉到结构字段，不强猜长短。</x:v>
      </x:c>
      <x:c r="P165" s="9" t="str">
        <x:v>普通男女装</x:v>
      </x:c>
      <x:c r="Q165" s="9" t="str">
        <x:v>W_SKIRTS_AVGPAID_1300_1400_ANNUAL2026.xlsx</x:v>
      </x:c>
      <x:c r="R165" s="9" t="str">
        <x:v>默认</x:v>
      </x:c>
      <x:c r="S165" s="9" t="n">
        <x:v>175</x:v>
      </x:c>
      <x:c r="T165" s="9" t="str">
        <x:v>bd4dae1e08e9eca7ddd0669235bf59107cdc418b9c2898fc16f36a7ab5748692</x:v>
      </x:c>
      <x:c r="U165" s="9" t="str">
        <x:v>W_SKIRTS_AVGPAID_1300_1400_ANNUAL2026</x:v>
      </x:c>
      <x:c r="V165" s="9" t="str">
        <x:v>W_SKIRTS_AVGPAID_1300_1400_ANNUAL2026.xlsx / 默认 / 第175行 / SHA256 bd4dae1e08e9eca7ddd0669235bf59107cdc418b9c2898fc16f36a7ab5748692</x:v>
      </x:c>
    </x:row>
    <x:row r="166" ht="58" customHeight="1">
      <x:c r="A166" s="23" t="str">
        <x:v>821871845244</x:v>
      </x:c>
      <x:c r="B166" s="22"/>
      <x:c r="C166" s="22"/>
      <x:c r="D166" s="22"/>
      <x:c r="E166" s="9" t="str">
        <x:v>裙长未明确</x:v>
      </x:c>
      <x:c r="F166" s="9" t="str">
        <x:v>裙装</x:v>
      </x:c>
      <x:c r="G166" s="9" t="str">
        <x:v>半身裙</x:v>
      </x:c>
      <x:c r="H166" s="9" t="str">
        <x:v>女</x:v>
      </x:c>
      <x:c r="I166" s="9" t="str">
        <x:v>CHICJOC专柜进口牛皮/羊毛呢拼接真丝顺纡乔其艺术感弧形半裙</x:v>
      </x:c>
      <x:c r="J166" s="9" t="str">
        <x:v>CHICJOC</x:v>
      </x:c>
      <x:c r="K166" s="24" t="n">
        <x:v>1538.07</x:v>
      </x:c>
      <x:c r="L166" s="25" t="e">
        <x:f>HYPERLINK("https://item.taobao.com/item.htm?id=821871845244","打开商品")</x:f>
        <x:v>HYPERLINK is not implemented. linkLocation=https://item.taobao.com/item.htm?id=821871845244, friendlyName=打开商品</x:v>
      </x:c>
      <x:c r="M166" s="25" t="e">
        <x:f>HYPERLINK("https://data.zhiyitech.cn/itemDetail/overview/base?itemId=821871845244","打开知衣")</x:f>
        <x:v>HYPERLINK is not implemented. linkLocation=https://data.zhiyitech.cn/itemDetail/overview/base?itemId=821871845244, friendlyName=打开知衣</x:v>
      </x:c>
      <x:c r="N166" s="25" t="e">
        <x:f>HYPERLINK("https://img.alicdn.com/bao/uploaded/i3/1127434297/O1CN01cncyeT1hc4sLVCLn9_!!1127434297.jpg","查看主图")</x:f>
        <x:v>HYPERLINK is not implemented. linkLocation=https://img.alicdn.com/bao/uploaded/i3/1127434297/O1CN01cncyeT1hc4sLVCLn9_!!1127434297.jpg, friendlyName=查看主图</x:v>
      </x:c>
      <x:c r="O166" s="9" t="str">
        <x:v>标题及既有类目语义复核；CHICJOC专柜进口牛皮/羊毛呢拼接真丝顺纡乔其艺术感弧形半裙；原类目及标题已能确认半身裙；展示使用已知大类，未知裙长下沉到结构字段，不强猜长短。</x:v>
      </x:c>
      <x:c r="P166" s="9" t="str">
        <x:v>普通男女装</x:v>
      </x:c>
      <x:c r="Q166" s="9" t="str">
        <x:v>W_SKIRTS_AVGPAID_1500_1600_ANNUAL2026.xlsx</x:v>
      </x:c>
      <x:c r="R166" s="9" t="str">
        <x:v>默认</x:v>
      </x:c>
      <x:c r="S166" s="9" t="n">
        <x:v>198</x:v>
      </x:c>
      <x:c r="T166" s="9" t="str">
        <x:v>deede8b56943df4f914be45dba170f12e69064023d6ef0e88dbde1764f6ba23e</x:v>
      </x:c>
      <x:c r="U166" s="9" t="str">
        <x:v>W_SKIRTS_AVGPAID_1500_1600_ANNUAL2026</x:v>
      </x:c>
      <x:c r="V166" s="9" t="str">
        <x:v>W_SKIRTS_AVGPAID_1500_1600_ANNUAL2026.xlsx / 默认 / 第198行 / SHA256 deede8b56943df4f914be45dba170f12e69064023d6ef0e88dbde1764f6ba23e</x:v>
      </x:c>
    </x:row>
    <x:row r="167" ht="58" customHeight="1">
      <x:c r="A167" s="23" t="str">
        <x:v>844519470686</x:v>
      </x:c>
      <x:c r="B167" s="22"/>
      <x:c r="C167" s="22"/>
      <x:c r="D167" s="22"/>
      <x:c r="E167" s="9" t="str">
        <x:v>裙长未明确</x:v>
      </x:c>
      <x:c r="F167" s="9" t="str">
        <x:v>裙装</x:v>
      </x:c>
      <x:c r="G167" s="9" t="str">
        <x:v>半身裙</x:v>
      </x:c>
      <x:c r="H167" s="9" t="str">
        <x:v>女</x:v>
      </x:c>
      <x:c r="I167" s="9" t="str">
        <x:v>CHICJOC法国Alpaca马海/意大利粗花呢流线解构斜裁毛边鱼尾裙</x:v>
      </x:c>
      <x:c r="J167" s="9" t="str">
        <x:v>CHICJOC</x:v>
      </x:c>
      <x:c r="K167" s="24" t="n">
        <x:v>1578.44</x:v>
      </x:c>
      <x:c r="L167" s="25" t="e">
        <x:f>HYPERLINK("https://item.taobao.com/item.htm?id=844519470686","打开商品")</x:f>
        <x:v>HYPERLINK is not implemented. linkLocation=https://item.taobao.com/item.htm?id=844519470686, friendlyName=打开商品</x:v>
      </x:c>
      <x:c r="M167" s="25" t="e">
        <x:f>HYPERLINK("https://data.zhiyitech.cn/itemDetail/overview/base?itemId=844519470686","打开知衣")</x:f>
        <x:v>HYPERLINK is not implemented. linkLocation=https://data.zhiyitech.cn/itemDetail/overview/base?itemId=844519470686, friendlyName=打开知衣</x:v>
      </x:c>
      <x:c r="N167" s="25" t="e">
        <x:f>HYPERLINK("https://img.alicdn.com/bao/uploaded/i4/1127434297/O1CN01fpGSYn1hc4tl6Wf4X_!!1127434297.jpg","查看主图")</x:f>
        <x:v>HYPERLINK is not implemented. linkLocation=https://img.alicdn.com/bao/uploaded/i4/1127434297/O1CN01fpGSYn1hc4tl6Wf4X_!!1127434297.jpg, friendlyName=查看主图</x:v>
      </x:c>
      <x:c r="O167" s="9" t="str">
        <x:v>标题及既有类目语义复核；CHICJOC法国Alpaca马海/意大利粗花呢流线解构斜裁毛边鱼尾裙；原类目及标题已能确认半身裙；展示使用已知大类，未知裙长下沉到结构字段，不强猜长短。</x:v>
      </x:c>
      <x:c r="P167" s="9" t="str">
        <x:v>普通男女装</x:v>
      </x:c>
      <x:c r="Q167" s="9" t="str">
        <x:v>W_SKIRTS_AVGPAID_1500_1600_ANNUAL2026.xlsx</x:v>
      </x:c>
      <x:c r="R167" s="9" t="str">
        <x:v>默认</x:v>
      </x:c>
      <x:c r="S167" s="9" t="n">
        <x:v>163</x:v>
      </x:c>
      <x:c r="T167" s="9" t="str">
        <x:v>deede8b56943df4f914be45dba170f12e69064023d6ef0e88dbde1764f6ba23e</x:v>
      </x:c>
      <x:c r="U167" s="9" t="str">
        <x:v>W_SKIRTS_AVGPAID_1500_1600_ANNUAL2026</x:v>
      </x:c>
      <x:c r="V167" s="9" t="str">
        <x:v>W_SKIRTS_AVGPAID_1500_1600_ANNUAL2026.xlsx / 默认 / 第163行 / SHA256 deede8b56943df4f914be45dba170f12e69064023d6ef0e88dbde1764f6ba23e</x:v>
      </x:c>
    </x:row>
    <x:row r="168" ht="58" customHeight="1">
      <x:c r="A168" s="23" t="str">
        <x:v>859802315209</x:v>
      </x:c>
      <x:c r="B168" s="22"/>
      <x:c r="C168" s="22"/>
      <x:c r="D168" s="22"/>
      <x:c r="E168" s="9" t="str">
        <x:v>裙长未明确</x:v>
      </x:c>
      <x:c r="F168" s="9" t="str">
        <x:v>裙装</x:v>
      </x:c>
      <x:c r="G168" s="9" t="str">
        <x:v>半身裙</x:v>
      </x:c>
      <x:c r="H168" s="9" t="str">
        <x:v>女</x:v>
      </x:c>
      <x:c r="I168" s="9" t="str">
        <x:v>CHICJOC厚垂亲肤法兰绒羊毛 层次感拼接光泽真丝下摆复古大摆伞裙</x:v>
      </x:c>
      <x:c r="J168" s="9" t="str">
        <x:v>CHICJOC</x:v>
      </x:c>
      <x:c r="K168" s="24" t="n">
        <x:v>1562.29</x:v>
      </x:c>
      <x:c r="L168" s="25" t="e">
        <x:f>HYPERLINK("https://item.taobao.com/item.htm?id=859802315209","打开商品")</x:f>
        <x:v>HYPERLINK is not implemented. linkLocation=https://item.taobao.com/item.htm?id=859802315209, friendlyName=打开商品</x:v>
      </x:c>
      <x:c r="M168" s="25" t="e">
        <x:f>HYPERLINK("https://data.zhiyitech.cn/itemDetail/overview/base?itemId=859802315209","打开知衣")</x:f>
        <x:v>HYPERLINK is not implemented. linkLocation=https://data.zhiyitech.cn/itemDetail/overview/base?itemId=859802315209, friendlyName=打开知衣</x:v>
      </x:c>
      <x:c r="N168" s="25" t="e">
        <x:f>HYPERLINK("https://img.alicdn.com/bao/uploaded/i2/1127434297/O1CN01iYHisW1hc4v8aCs6d_!!1127434297.jpg","查看主图")</x:f>
        <x:v>HYPERLINK is not implemented. linkLocation=https://img.alicdn.com/bao/uploaded/i2/1127434297/O1CN01iYHisW1hc4v8aCs6d_!!1127434297.jpg, friendlyName=查看主图</x:v>
      </x:c>
      <x:c r="O168" s="9" t="str">
        <x:v>标题及既有类目语义复核；CHICJOC厚垂亲肤法兰绒羊毛 层次感拼接光泽真丝下摆复古大摆伞裙；原类目及标题已能确认半身裙；展示使用已知大类，未知裙长下沉到结构字段，不强猜长短。</x:v>
      </x:c>
      <x:c r="P168" s="9" t="str">
        <x:v>普通男女装</x:v>
      </x:c>
      <x:c r="Q168" s="9" t="str">
        <x:v>W_SKIRTS_AVGPAID_1500_1600_ANNUAL2026.xlsx</x:v>
      </x:c>
      <x:c r="R168" s="9" t="str">
        <x:v>默认</x:v>
      </x:c>
      <x:c r="S168" s="9" t="n">
        <x:v>91</x:v>
      </x:c>
      <x:c r="T168" s="9" t="str">
        <x:v>deede8b56943df4f914be45dba170f12e69064023d6ef0e88dbde1764f6ba23e</x:v>
      </x:c>
      <x:c r="U168" s="9" t="str">
        <x:v>W_SKIRTS_AVGPAID_1500_1600_ANNUAL2026</x:v>
      </x:c>
      <x:c r="V168" s="9" t="str">
        <x:v>W_SKIRTS_AVGPAID_1500_1600_ANNUAL2026.xlsx / 默认 / 第91行 / SHA256 deede8b56943df4f914be45dba170f12e69064023d6ef0e88dbde1764f6ba23e</x:v>
      </x:c>
    </x:row>
    <x:row r="169" ht="58" customHeight="1">
      <x:c r="A169" s="23" t="str">
        <x:v>865099839472</x:v>
      </x:c>
      <x:c r="B169" s="22"/>
      <x:c r="C169" s="22"/>
      <x:c r="D169" s="22"/>
      <x:c r="E169" s="9" t="str">
        <x:v>裙长未明确</x:v>
      </x:c>
      <x:c r="F169" s="9" t="str">
        <x:v>裙装</x:v>
      </x:c>
      <x:c r="G169" s="9" t="str">
        <x:v>半身裙</x:v>
      </x:c>
      <x:c r="H169" s="9" t="str">
        <x:v>女</x:v>
      </x:c>
      <x:c r="I169" s="9" t="str">
        <x:v>CHICJOC意大利M家可机洗羊毛 复古解构双层下摆_帅气遮胯百褶伞裙</x:v>
      </x:c>
      <x:c r="J169" s="9" t="str">
        <x:v>CHICJOC</x:v>
      </x:c>
      <x:c r="K169" s="24" t="n">
        <x:v>1358.91</x:v>
      </x:c>
      <x:c r="L169" s="25" t="e">
        <x:f>HYPERLINK("https://item.taobao.com/item.htm?id=865099839472","打开商品")</x:f>
        <x:v>HYPERLINK is not implemented. linkLocation=https://item.taobao.com/item.htm?id=865099839472, friendlyName=打开商品</x:v>
      </x:c>
      <x:c r="M169" s="25" t="e">
        <x:f>HYPERLINK("https://data.zhiyitech.cn/itemDetail/overview/base?itemId=865099839472","打开知衣")</x:f>
        <x:v>HYPERLINK is not implemented. linkLocation=https://data.zhiyitech.cn/itemDetail/overview/base?itemId=865099839472, friendlyName=打开知衣</x:v>
      </x:c>
      <x:c r="N169" s="25" t="e">
        <x:f>HYPERLINK("https://img.alicdn.com/bao/uploaded/i4/1127434297/O1CN01NZW5s51hc4v2DdbwG_!!1127434297.jpg","查看主图")</x:f>
        <x:v>HYPERLINK is not implemented. linkLocation=https://img.alicdn.com/bao/uploaded/i4/1127434297/O1CN01NZW5s51hc4v2DdbwG_!!1127434297.jpg, friendlyName=查看主图</x:v>
      </x:c>
      <x:c r="O169" s="9" t="str">
        <x:v>标题及既有类目语义复核；CHICJOC意大利M家可机洗羊毛 复古解构双层下摆_帅气遮胯百褶伞裙；原类目及标题已能确认半身裙；展示使用已知大类，未知裙长下沉到结构字段，不强猜长短。</x:v>
      </x:c>
      <x:c r="P169" s="9" t="str">
        <x:v>普通男女装</x:v>
      </x:c>
      <x:c r="Q169" s="9" t="str">
        <x:v>W_SKIRTS_AVGPAID_1300_1400_ANNUAL2026.xlsx</x:v>
      </x:c>
      <x:c r="R169" s="9" t="str">
        <x:v>默认</x:v>
      </x:c>
      <x:c r="S169" s="9" t="n">
        <x:v>202</x:v>
      </x:c>
      <x:c r="T169" s="9" t="str">
        <x:v>bd4dae1e08e9eca7ddd0669235bf59107cdc418b9c2898fc16f36a7ab5748692</x:v>
      </x:c>
      <x:c r="U169" s="9" t="str">
        <x:v>W_SKIRTS_AVGPAID_1300_1400_ANNUAL2026</x:v>
      </x:c>
      <x:c r="V169" s="9" t="str">
        <x:v>W_SKIRTS_AVGPAID_1300_1400_ANNUAL2026.xlsx / 默认 / 第202行 / SHA256 bd4dae1e08e9eca7ddd0669235bf59107cdc418b9c2898fc16f36a7ab5748692</x:v>
      </x:c>
    </x:row>
    <x:row r="170" ht="58" customHeight="1">
      <x:c r="A170" s="23" t="str">
        <x:v>892582661053</x:v>
      </x:c>
      <x:c r="B170" s="22"/>
      <x:c r="C170" s="22"/>
      <x:c r="D170" s="22"/>
      <x:c r="E170" s="9" t="str">
        <x:v>裙长未明确</x:v>
      </x:c>
      <x:c r="F170" s="9" t="str">
        <x:v>裙装</x:v>
      </x:c>
      <x:c r="G170" s="9" t="str">
        <x:v>半身裙</x:v>
      </x:c>
      <x:c r="H170" s="9" t="str">
        <x:v>女</x:v>
      </x:c>
      <x:c r="I170" s="9" t="str">
        <x:v>CHICJOC浅春系意大利微闪花纱/欧洲荃羊毛粗花呢 极简单褶微A中裙</x:v>
      </x:c>
      <x:c r="J170" s="9" t="str">
        <x:v>CHICJOC</x:v>
      </x:c>
      <x:c r="K170" s="24" t="n">
        <x:v>1307.19</x:v>
      </x:c>
      <x:c r="L170" s="25" t="e">
        <x:f>HYPERLINK("https://item.taobao.com/item.htm?id=892582661053","打开商品")</x:f>
        <x:v>HYPERLINK is not implemented. linkLocation=https://item.taobao.com/item.htm?id=892582661053, friendlyName=打开商品</x:v>
      </x:c>
      <x:c r="M170" s="25" t="e">
        <x:f>HYPERLINK("https://data.zhiyitech.cn/itemDetail/overview/base?itemId=892582661053","打开知衣")</x:f>
        <x:v>HYPERLINK is not implemented. linkLocation=https://data.zhiyitech.cn/itemDetail/overview/base?itemId=892582661053, friendlyName=打开知衣</x:v>
      </x:c>
      <x:c r="N170" s="25" t="e">
        <x:f>HYPERLINK("https://img.alicdn.com/bao/uploaded/i4/1127434297/O1CN01xeDpkT1hc4vm4ry9R_!!1127434297.jpg","查看主图")</x:f>
        <x:v>HYPERLINK is not implemented. linkLocation=https://img.alicdn.com/bao/uploaded/i4/1127434297/O1CN01xeDpkT1hc4vm4ry9R_!!1127434297.jpg, friendlyName=查看主图</x:v>
      </x:c>
      <x:c r="O170" s="9" t="str">
        <x:v>标题及既有类目语义复核；CHICJOC浅春系意大利微闪花纱/欧洲荃羊毛粗花呢 极简单褶微A中裙；原类目及标题已能确认半身裙；展示使用已知大类，未知裙长下沉到结构字段，不强猜长短。</x:v>
      </x:c>
      <x:c r="P170" s="9" t="str">
        <x:v>普通男女装</x:v>
      </x:c>
      <x:c r="Q170" s="9" t="str">
        <x:v>W_SKIRTS_AVGPAID_1300_1400_ANNUAL2026.xlsx</x:v>
      </x:c>
      <x:c r="R170" s="9" t="str">
        <x:v>默认</x:v>
      </x:c>
      <x:c r="S170" s="9" t="n">
        <x:v>429</x:v>
      </x:c>
      <x:c r="T170" s="9" t="str">
        <x:v>bd4dae1e08e9eca7ddd0669235bf59107cdc418b9c2898fc16f36a7ab5748692</x:v>
      </x:c>
      <x:c r="U170" s="9" t="str">
        <x:v>W_SKIRTS_AVGPAID_1300_1400_ANNUAL2026</x:v>
      </x:c>
      <x:c r="V170" s="9" t="str">
        <x:v>W_SKIRTS_AVGPAID_1300_1400_ANNUAL2026.xlsx / 默认 / 第429行 / SHA256 bd4dae1e08e9eca7ddd0669235bf59107cdc418b9c2898fc16f36a7ab5748692</x:v>
      </x:c>
    </x:row>
    <x:row r="171" ht="58" customHeight="1">
      <x:c r="A171" s="23" t="str">
        <x:v>898149795325</x:v>
      </x:c>
      <x:c r="B171" s="22"/>
      <x:c r="C171" s="22"/>
      <x:c r="D171" s="22"/>
      <x:c r="E171" s="9" t="str">
        <x:v>裙长未明确</x:v>
      </x:c>
      <x:c r="F171" s="9" t="str">
        <x:v>裙装</x:v>
      </x:c>
      <x:c r="G171" s="9" t="str">
        <x:v>半身裙</x:v>
      </x:c>
      <x:c r="H171" s="9" t="str">
        <x:v>女</x:v>
      </x:c>
      <x:c r="I171" s="9" t="str">
        <x:v>CHICJOC雾光砂洗素绉缎+雪纺真丝高级静奢流线感斜裁拼接鱼尾半裙</x:v>
      </x:c>
      <x:c r="J171" s="9" t="str">
        <x:v>CHICJOC</x:v>
      </x:c>
      <x:c r="K171" s="24" t="n">
        <x:v>1507.97</x:v>
      </x:c>
      <x:c r="L171" s="25" t="e">
        <x:f>HYPERLINK("https://item.taobao.com/item.htm?id=898149795325","打开商品")</x:f>
        <x:v>HYPERLINK is not implemented. linkLocation=https://item.taobao.com/item.htm?id=898149795325, friendlyName=打开商品</x:v>
      </x:c>
      <x:c r="M171" s="25" t="e">
        <x:f>HYPERLINK("https://data.zhiyitech.cn/itemDetail/overview/base?itemId=898149795325","打开知衣")</x:f>
        <x:v>HYPERLINK is not implemented. linkLocation=https://data.zhiyitech.cn/itemDetail/overview/base?itemId=898149795325, friendlyName=打开知衣</x:v>
      </x:c>
      <x:c r="N171" s="25" t="e">
        <x:f>HYPERLINK("https://img.alicdn.com/bao/uploaded/i2/1127434297/O1CN01dCnhth1hc4w9M03UD_!!1127434297.jpg","查看主图")</x:f>
        <x:v>HYPERLINK is not implemented. linkLocation=https://img.alicdn.com/bao/uploaded/i2/1127434297/O1CN01dCnhth1hc4w9M03UD_!!1127434297.jpg, friendlyName=查看主图</x:v>
      </x:c>
      <x:c r="O171" s="9" t="str">
        <x:v>标题及既有类目语义复核；CHICJOC雾光砂洗素绉缎+雪纺真丝高级静奢流线感斜裁拼接鱼尾半裙；原类目及标题已能确认半身裙；展示使用已知大类，未知裙长下沉到结构字段，不强猜长短。</x:v>
      </x:c>
      <x:c r="P171" s="9" t="str">
        <x:v>普通男女装</x:v>
      </x:c>
      <x:c r="Q171" s="9" t="str">
        <x:v>W_SKIRTS_AVGPAID_1500_1600_ANNUAL2026.xlsx</x:v>
      </x:c>
      <x:c r="R171" s="9" t="str">
        <x:v>默认</x:v>
      </x:c>
      <x:c r="S171" s="9" t="n">
        <x:v>437</x:v>
      </x:c>
      <x:c r="T171" s="9" t="str">
        <x:v>deede8b56943df4f914be45dba170f12e69064023d6ef0e88dbde1764f6ba23e</x:v>
      </x:c>
      <x:c r="U171" s="9" t="str">
        <x:v>W_SKIRTS_AVGPAID_1500_1600_ANNUAL2026</x:v>
      </x:c>
      <x:c r="V171" s="9" t="str">
        <x:v>W_SKIRTS_AVGPAID_1500_1600_ANNUAL2026.xlsx / 默认 / 第437行 / SHA256 deede8b56943df4f914be45dba170f12e69064023d6ef0e88dbde1764f6ba23e</x:v>
      </x:c>
    </x:row>
    <x:row r="172" ht="58" customHeight="1">
      <x:c r="A172" s="23" t="str">
        <x:v>913574624901</x:v>
      </x:c>
      <x:c r="B172" s="22"/>
      <x:c r="C172" s="22"/>
      <x:c r="D172" s="22"/>
      <x:c r="E172" s="9" t="str">
        <x:v>裙长未明确</x:v>
      </x:c>
      <x:c r="F172" s="9" t="str">
        <x:v>裙装</x:v>
      </x:c>
      <x:c r="G172" s="9" t="str">
        <x:v>半身裙</x:v>
      </x:c>
      <x:c r="H172" s="9" t="str">
        <x:v>女</x:v>
      </x:c>
      <x:c r="I172" s="9" t="str">
        <x:v>CHICJOC柔雾飘逸雪纺真丝 氛围度假设计感不规则重工百层花瓣半裙</x:v>
      </x:c>
      <x:c r="J172" s="9" t="str">
        <x:v>CHICJOC</x:v>
      </x:c>
      <x:c r="K172" s="24" t="n">
        <x:v>1515.86</x:v>
      </x:c>
      <x:c r="L172" s="25" t="e">
        <x:f>HYPERLINK("https://item.taobao.com/item.htm?id=913574624901","打开商品")</x:f>
        <x:v>HYPERLINK is not implemented. linkLocation=https://item.taobao.com/item.htm?id=913574624901, friendlyName=打开商品</x:v>
      </x:c>
      <x:c r="M172" s="25" t="e">
        <x:f>HYPERLINK("https://data.zhiyitech.cn/itemDetail/overview/base?itemId=913574624901","打开知衣")</x:f>
        <x:v>HYPERLINK is not implemented. linkLocation=https://data.zhiyitech.cn/itemDetail/overview/base?itemId=913574624901, friendlyName=打开知衣</x:v>
      </x:c>
      <x:c r="N172" s="25" t="e">
        <x:f>HYPERLINK("https://img.alicdn.com/bao/uploaded/i1/1127434297/O1CN01lUZWN81hc4whQ6x7k_!!1127434297.jpg","查看主图")</x:f>
        <x:v>HYPERLINK is not implemented. linkLocation=https://img.alicdn.com/bao/uploaded/i1/1127434297/O1CN01lUZWN81hc4whQ6x7k_!!1127434297.jpg, friendlyName=查看主图</x:v>
      </x:c>
      <x:c r="O172" s="9" t="str">
        <x:v>标题及既有类目语义复核；CHICJOC柔雾飘逸雪纺真丝 氛围度假设计感不规则重工百层花瓣半裙；原类目及标题已能确认半身裙；展示使用已知大类，未知裙长下沉到结构字段，不强猜长短。</x:v>
      </x:c>
      <x:c r="P172" s="9" t="str">
        <x:v>普通男女装</x:v>
      </x:c>
      <x:c r="Q172" s="9" t="str">
        <x:v>W_SKIRTS_AVGPAID_1500_1600_ANNUAL2026.xlsx</x:v>
      </x:c>
      <x:c r="R172" s="9" t="str">
        <x:v>默认</x:v>
      </x:c>
      <x:c r="S172" s="9" t="n">
        <x:v>41</x:v>
      </x:c>
      <x:c r="T172" s="9" t="str">
        <x:v>deede8b56943df4f914be45dba170f12e69064023d6ef0e88dbde1764f6ba23e</x:v>
      </x:c>
      <x:c r="U172" s="9" t="str">
        <x:v>W_SKIRTS_AVGPAID_1500_1600_ANNUAL2026</x:v>
      </x:c>
      <x:c r="V172" s="9" t="str">
        <x:v>W_SKIRTS_AVGPAID_1500_1600_ANNUAL2026.xlsx / 默认 / 第41行 / SHA256 deede8b56943df4f914be45dba170f12e69064023d6ef0e88dbde1764f6ba23e</x:v>
      </x:c>
    </x:row>
    <x:row r="173" ht="58" customHeight="1">
      <x:c r="A173" s="23" t="str">
        <x:v>965040491764</x:v>
      </x:c>
      <x:c r="B173" s="22"/>
      <x:c r="C173" s="22"/>
      <x:c r="D173" s="22"/>
      <x:c r="E173" s="9" t="str">
        <x:v>裙长未明确</x:v>
      </x:c>
      <x:c r="F173" s="9" t="str">
        <x:v>裙装</x:v>
      </x:c>
      <x:c r="G173" s="9" t="str">
        <x:v>半身裙</x:v>
      </x:c>
      <x:c r="H173" s="9" t="str">
        <x:v>女</x:v>
      </x:c>
      <x:c r="I173" s="9" t="str">
        <x:v>CHICJOC手工蓟花钉珠裙_独家花型静奢风真丝欧根缎+真丝内里半裙</x:v>
      </x:c>
      <x:c r="J173" s="9" t="str">
        <x:v>CHICJOC</x:v>
      </x:c>
      <x:c r="K173" s="24" t="n">
        <x:v>1546.54</x:v>
      </x:c>
      <x:c r="L173" s="25" t="e">
        <x:f>HYPERLINK("https://item.taobao.com/item.htm?id=965040491764","打开商品")</x:f>
        <x:v>HYPERLINK is not implemented. linkLocation=https://item.taobao.com/item.htm?id=965040491764, friendlyName=打开商品</x:v>
      </x:c>
      <x:c r="M173" s="25" t="e">
        <x:f>HYPERLINK("https://data.zhiyitech.cn/itemDetail/overview/base?itemId=965040491764","打开知衣")</x:f>
        <x:v>HYPERLINK is not implemented. linkLocation=https://data.zhiyitech.cn/itemDetail/overview/base?itemId=965040491764, friendlyName=打开知衣</x:v>
      </x:c>
      <x:c r="N173" s="25" t="e">
        <x:f>HYPERLINK("https://img.alicdn.com/bao/uploaded/i1/1127434297/O1CN01YEQkLo1hc4yhDS2GO_!!1127434297.jpg","查看主图")</x:f>
        <x:v>HYPERLINK is not implemented. linkLocation=https://img.alicdn.com/bao/uploaded/i1/1127434297/O1CN01YEQkLo1hc4yhDS2GO_!!1127434297.jpg, friendlyName=查看主图</x:v>
      </x:c>
      <x:c r="O173" s="9" t="str">
        <x:v>标题及既有类目语义复核；CHICJOC手工蓟花钉珠裙_独家花型静奢风真丝欧根缎+真丝内里半裙；原类目及标题已能确认半身裙；展示使用已知大类，未知裙长下沉到结构字段，不强猜长短。</x:v>
      </x:c>
      <x:c r="P173" s="9" t="str">
        <x:v>普通男女装</x:v>
      </x:c>
      <x:c r="Q173" s="9" t="str">
        <x:v>W_SKIRTS_AVGPAID_1500_1600_ANNUAL2026.xlsx</x:v>
      </x:c>
      <x:c r="R173" s="9" t="str">
        <x:v>默认</x:v>
      </x:c>
      <x:c r="S173" s="9" t="n">
        <x:v>12</x:v>
      </x:c>
      <x:c r="T173" s="9" t="str">
        <x:v>deede8b56943df4f914be45dba170f12e69064023d6ef0e88dbde1764f6ba23e</x:v>
      </x:c>
      <x:c r="U173" s="9" t="str">
        <x:v>W_SKIRTS_AVGPAID_1500_1600_ANNUAL2026</x:v>
      </x:c>
      <x:c r="V173" s="9" t="str">
        <x:v>W_SKIRTS_AVGPAID_1500_1600_ANNUAL2026.xlsx / 默认 / 第12行 / SHA256 deede8b56943df4f914be45dba170f12e69064023d6ef0e88dbde1764f6ba23e</x:v>
      </x:c>
    </x:row>
    <x:row r="174" ht="58" customHeight="1">
      <x:c r="A174" s="23" t="str">
        <x:v>966222885585</x:v>
      </x:c>
      <x:c r="B174" s="22"/>
      <x:c r="C174" s="22"/>
      <x:c r="D174" s="22"/>
      <x:c r="E174" s="9" t="str">
        <x:v>裙长未明确</x:v>
      </x:c>
      <x:c r="F174" s="9" t="str">
        <x:v>裙装</x:v>
      </x:c>
      <x:c r="G174" s="9" t="str">
        <x:v>半身裙</x:v>
      </x:c>
      <x:c r="H174" s="9" t="str">
        <x:v>女</x:v>
      </x:c>
      <x:c r="I174" s="9" t="str">
        <x:v>CHICJOC重工斜裁对格_欧洲HARRIS千鸟/格纹羊毛呢自然毛边A摆中裙</x:v>
      </x:c>
      <x:c r="J174" s="9" t="str">
        <x:v>CHICJOC</x:v>
      </x:c>
      <x:c r="K174" s="24" t="n">
        <x:v>1558.97</x:v>
      </x:c>
      <x:c r="L174" s="25" t="e">
        <x:f>HYPERLINK("https://item.taobao.com/item.htm?id=966222885585","打开商品")</x:f>
        <x:v>HYPERLINK is not implemented. linkLocation=https://item.taobao.com/item.htm?id=966222885585, friendlyName=打开商品</x:v>
      </x:c>
      <x:c r="M174" s="25" t="e">
        <x:f>HYPERLINK("https://data.zhiyitech.cn/itemDetail/overview/base?itemId=966222885585","打开知衣")</x:f>
        <x:v>HYPERLINK is not implemented. linkLocation=https://data.zhiyitech.cn/itemDetail/overview/base?itemId=966222885585, friendlyName=打开知衣</x:v>
      </x:c>
      <x:c r="N174" s="25" t="e">
        <x:f>HYPERLINK("https://img.alicdn.com/bao/uploaded/i3/1127434297/O1CN01HgJOT21hc4ym2YyTP_!!1127434297.jpg","查看主图")</x:f>
        <x:v>HYPERLINK is not implemented. linkLocation=https://img.alicdn.com/bao/uploaded/i3/1127434297/O1CN01HgJOT21hc4ym2YyTP_!!1127434297.jpg, friendlyName=查看主图</x:v>
      </x:c>
      <x:c r="O174" s="9" t="str">
        <x:v>标题及既有类目语义复核；CHICJOC重工斜裁对格_欧洲HARRIS千鸟/格纹羊毛呢自然毛边A摆中裙；原类目及标题已能确认半身裙；展示使用已知大类，未知裙长下沉到结构字段，不强猜长短。</x:v>
      </x:c>
      <x:c r="P174" s="9" t="str">
        <x:v>普通男女装</x:v>
      </x:c>
      <x:c r="Q174" s="9" t="str">
        <x:v>W_SKIRTS_AVGPAID_1500_1600_ANNUAL2026.xlsx</x:v>
      </x:c>
      <x:c r="R174" s="9" t="str">
        <x:v>默认</x:v>
      </x:c>
      <x:c r="S174" s="9" t="n">
        <x:v>30</x:v>
      </x:c>
      <x:c r="T174" s="9" t="str">
        <x:v>deede8b56943df4f914be45dba170f12e69064023d6ef0e88dbde1764f6ba23e</x:v>
      </x:c>
      <x:c r="U174" s="9" t="str">
        <x:v>W_SKIRTS_AVGPAID_1500_1600_ANNUAL2026</x:v>
      </x:c>
      <x:c r="V174" s="9" t="str">
        <x:v>W_SKIRTS_AVGPAID_1500_1600_ANNUAL2026.xlsx / 默认 / 第30行 / SHA256 deede8b56943df4f914be45dba170f12e69064023d6ef0e88dbde1764f6ba23e</x:v>
      </x:c>
    </x:row>
    <x:row r="175" ht="58" customHeight="1">
      <x:c r="A175" s="23" t="str">
        <x:v>984232571972</x:v>
      </x:c>
      <x:c r="B175" s="22"/>
      <x:c r="C175" s="22"/>
      <x:c r="D175" s="22"/>
      <x:c r="E175" s="9" t="str">
        <x:v>裙长未明确</x:v>
      </x:c>
      <x:c r="F175" s="9" t="str">
        <x:v>裙装</x:v>
      </x:c>
      <x:c r="G175" s="9" t="str">
        <x:v>半身裙</x:v>
      </x:c>
      <x:c r="H175" s="9" t="str">
        <x:v>女</x:v>
      </x:c>
      <x:c r="I175" s="9" t="str">
        <x:v>CHICJOC手工钻雨钉珠_加厚抗皱36MM丝毛双面斜纹 VTG百搭直筒中裙</x:v>
      </x:c>
      <x:c r="J175" s="9" t="str">
        <x:v>CHICJOC</x:v>
      </x:c>
      <x:c r="K175" s="24" t="n">
        <x:v>1538.17</x:v>
      </x:c>
      <x:c r="L175" s="25" t="e">
        <x:f>HYPERLINK("https://item.taobao.com/item.htm?id=984232571972","打开商品")</x:f>
        <x:v>HYPERLINK is not implemented. linkLocation=https://item.taobao.com/item.htm?id=984232571972, friendlyName=打开商品</x:v>
      </x:c>
      <x:c r="M175" s="25" t="e">
        <x:f>HYPERLINK("https://data.zhiyitech.cn/itemDetail/overview/base?itemId=984232571972","打开知衣")</x:f>
        <x:v>HYPERLINK is not implemented. linkLocation=https://data.zhiyitech.cn/itemDetail/overview/base?itemId=984232571972, friendlyName=打开知衣</x:v>
      </x:c>
      <x:c r="N175" s="25" t="e">
        <x:f>HYPERLINK("https://img.alicdn.com/bao/uploaded/i4/1127434297/O1CN01qpb8nt1hc4zaDe8vA_!!1127434297.jpg","查看主图")</x:f>
        <x:v>HYPERLINK is not implemented. linkLocation=https://img.alicdn.com/bao/uploaded/i4/1127434297/O1CN01qpb8nt1hc4zaDe8vA_!!1127434297.jpg, friendlyName=查看主图</x:v>
      </x:c>
      <x:c r="O175" s="9" t="str">
        <x:v>标题及既有类目语义复核；CHICJOC手工钻雨钉珠_加厚抗皱36MM丝毛双面斜纹 VTG百搭直筒中裙；原类目及标题已能确认半身裙；展示使用已知大类，未知裙长下沉到结构字段，不强猜长短。</x:v>
      </x:c>
      <x:c r="P175" s="9" t="str">
        <x:v>普通男女装</x:v>
      </x:c>
      <x:c r="Q175" s="9" t="str">
        <x:v>W_SKIRTS_AVGPAID_1500_1600_ANNUAL2026.xlsx</x:v>
      </x:c>
      <x:c r="R175" s="9" t="str">
        <x:v>默认</x:v>
      </x:c>
      <x:c r="S175" s="9" t="n">
        <x:v>40</x:v>
      </x:c>
      <x:c r="T175" s="9" t="str">
        <x:v>deede8b56943df4f914be45dba170f12e69064023d6ef0e88dbde1764f6ba23e</x:v>
      </x:c>
      <x:c r="U175" s="9" t="str">
        <x:v>W_SKIRTS_AVGPAID_1500_1600_ANNUAL2026</x:v>
      </x:c>
      <x:c r="V175" s="9" t="str">
        <x:v>W_SKIRTS_AVGPAID_1500_1600_ANNUAL2026.xlsx / 默认 / 第40行 / SHA256 deede8b56943df4f914be45dba170f12e69064023d6ef0e88dbde1764f6ba23e</x:v>
      </x:c>
    </x:row>
    <x:row r="176" ht="58" customHeight="1">
      <x:c r="A176" s="23" t="str">
        <x:v>661689989429</x:v>
      </x:c>
      <x:c r="B176" s="22"/>
      <x:c r="C176" s="22"/>
      <x:c r="D176" s="22"/>
      <x:c r="E176" s="9" t="str">
        <x:v>裙长未明确</x:v>
      </x:c>
      <x:c r="F176" s="9" t="str">
        <x:v>裙装</x:v>
      </x:c>
      <x:c r="G176" s="9" t="str">
        <x:v>半身裙</x:v>
      </x:c>
      <x:c r="H176" s="9" t="str">
        <x:v>女</x:v>
      </x:c>
      <x:c r="I176" s="9" t="str">
        <x:v>CLEANFLOW | 黑色山羊皮对称风琴褶中长半裙秋秋质感半身短a字裙</x:v>
      </x:c>
      <x:c r="J176" s="9" t="str">
        <x:v>CLEANFLOW</x:v>
      </x:c>
      <x:c r="K176" s="24" t="n">
        <x:v>1738.75</x:v>
      </x:c>
      <x:c r="L176" s="25" t="e">
        <x:f>HYPERLINK("https://item.taobao.com/item.htm?id=661689989429","打开商品")</x:f>
        <x:v>HYPERLINK is not implemented. linkLocation=https://item.taobao.com/item.htm?id=661689989429, friendlyName=打开商品</x:v>
      </x:c>
      <x:c r="M176" s="25" t="e">
        <x:f>HYPERLINK("https://data.zhiyitech.cn/itemDetail/overview/base?itemId=661689989429","打开知衣")</x:f>
        <x:v>HYPERLINK is not implemented. linkLocation=https://data.zhiyitech.cn/itemDetail/overview/base?itemId=661689989429, friendlyName=打开知衣</x:v>
      </x:c>
      <x:c r="N176" s="25" t="e">
        <x:f>HYPERLINK("https://img.alicdn.com/bao/uploaded/i4/852801192/O1CN01JAPmca1KfypoOIOXk_!!852801192.jpg","查看主图")</x:f>
        <x:v>HYPERLINK is not implemented. linkLocation=https://img.alicdn.com/bao/uploaded/i4/852801192/O1CN01JAPmca1KfypoOIOXk_!!852801192.jpg, friendlyName=查看主图</x:v>
      </x:c>
      <x:c r="O176" s="9" t="str">
        <x:v>标题及既有类目语义复核；CLEANFLOW | 黑色山羊皮对称风琴褶中长半裙秋秋质感半身短a字裙；标题中长与短A字裙相互矛盾；只能确认半身裙，裙长保留未知。</x:v>
      </x:c>
      <x:c r="P176" s="9" t="str">
        <x:v>普通男女装</x:v>
      </x:c>
      <x:c r="Q176" s="9" t="str">
        <x:v>W_SKIRTS_AVGPAID_1700_1800_ANNUAL2026.xlsx</x:v>
      </x:c>
      <x:c r="R176" s="9" t="str">
        <x:v>默认</x:v>
      </x:c>
      <x:c r="S176" s="9" t="n">
        <x:v>159</x:v>
      </x:c>
      <x:c r="T176" s="9" t="str">
        <x:v>c25ed77c53c7c5cfcf728778a0e9b297d8689503f62756a939cbd534ca9b587a</x:v>
      </x:c>
      <x:c r="U176" s="9" t="str">
        <x:v>W_SKIRTS_AVGPAID_1700_1800_ANNUAL2026</x:v>
      </x:c>
      <x:c r="V176" s="9" t="str">
        <x:v>W_SKIRTS_AVGPAID_1700_1800_ANNUAL2026.xlsx / 默认 / 第159行 / SHA256 c25ed77c53c7c5cfcf728778a0e9b297d8689503f62756a939cbd534ca9b587a</x:v>
      </x:c>
    </x:row>
    <x:row r="177" ht="58" customHeight="1">
      <x:c r="A177" s="23" t="str">
        <x:v>730706508523</x:v>
      </x:c>
      <x:c r="B177" s="22"/>
      <x:c r="C177" s="22"/>
      <x:c r="D177" s="22"/>
      <x:c r="E177" s="9" t="str">
        <x:v>裙长未明确</x:v>
      </x:c>
      <x:c r="F177" s="9" t="str">
        <x:v>裙装</x:v>
      </x:c>
      <x:c r="G177" s="9" t="str">
        <x:v>半身裙</x:v>
      </x:c>
      <x:c r="H177" s="9" t="str">
        <x:v>女</x:v>
      </x:c>
      <x:c r="I177" s="9" t="str">
        <x:v>CLEANFLOW | 真丝斜纹绸脏粉色气质半身裙女高级感2026秋新款裙子</x:v>
      </x:c>
      <x:c r="J177" s="9" t="str">
        <x:v>CLEANFLOW</x:v>
      </x:c>
      <x:c r="K177" s="24" t="n">
        <x:v>1501.94</x:v>
      </x:c>
      <x:c r="L177" s="25" t="e">
        <x:f>HYPERLINK("https://item.taobao.com/item.htm?id=730706508523","打开商品")</x:f>
        <x:v>HYPERLINK is not implemented. linkLocation=https://item.taobao.com/item.htm?id=730706508523, friendlyName=打开商品</x:v>
      </x:c>
      <x:c r="M177" s="25" t="e">
        <x:f>HYPERLINK("https://data.zhiyitech.cn/itemDetail/overview/base?itemId=730706508523","打开知衣")</x:f>
        <x:v>HYPERLINK is not implemented. linkLocation=https://data.zhiyitech.cn/itemDetail/overview/base?itemId=730706508523, friendlyName=打开知衣</x:v>
      </x:c>
      <x:c r="N177" s="25" t="e">
        <x:f>HYPERLINK("https://img.alicdn.com/bao/uploaded/i3/852801192/O1CN01q0cFrd1KfzBKbvTwm_!!852801192.jpg","查看主图")</x:f>
        <x:v>HYPERLINK is not implemented. linkLocation=https://img.alicdn.com/bao/uploaded/i3/852801192/O1CN01q0cFrd1KfzBKbvTwm_!!852801192.jpg, friendlyName=查看主图</x:v>
      </x:c>
      <x:c r="O177" s="9" t="str">
        <x:v>标题及既有类目语义复核；CLEANFLOW | 真丝斜纹绸脏粉色气质半身裙女高级感2026秋新款裙子；原类目及标题已能确认半身裙；展示使用已知大类，未知裙长下沉到结构字段，不强猜长短。</x:v>
      </x:c>
      <x:c r="P177" s="9" t="str">
        <x:v>普通男女装</x:v>
      </x:c>
      <x:c r="Q177" s="9" t="str">
        <x:v>W_SKIRTS_AVGPAID_1500_1600_ANNUAL2026.xlsx</x:v>
      </x:c>
      <x:c r="R177" s="9" t="str">
        <x:v>默认</x:v>
      </x:c>
      <x:c r="S177" s="9" t="n">
        <x:v>294</x:v>
      </x:c>
      <x:c r="T177" s="9" t="str">
        <x:v>deede8b56943df4f914be45dba170f12e69064023d6ef0e88dbde1764f6ba23e</x:v>
      </x:c>
      <x:c r="U177" s="9" t="str">
        <x:v>W_SKIRTS_AVGPAID_1500_1600_ANNUAL2026</x:v>
      </x:c>
      <x:c r="V177" s="9" t="str">
        <x:v>W_SKIRTS_AVGPAID_1500_1600_ANNUAL2026.xlsx / 默认 / 第294行 / SHA256 deede8b56943df4f914be45dba170f12e69064023d6ef0e88dbde1764f6ba23e</x:v>
      </x:c>
    </x:row>
    <x:row r="178" ht="58" customHeight="1">
      <x:c r="A178" s="23" t="str">
        <x:v>739475287769</x:v>
      </x:c>
      <x:c r="B178" s="22"/>
      <x:c r="C178" s="22"/>
      <x:c r="D178" s="22"/>
      <x:c r="E178" s="9" t="str">
        <x:v>裙长未明确</x:v>
      </x:c>
      <x:c r="F178" s="9" t="str">
        <x:v>裙装</x:v>
      </x:c>
      <x:c r="G178" s="9" t="str">
        <x:v>半身裙</x:v>
      </x:c>
      <x:c r="H178" s="9" t="str">
        <x:v>女</x:v>
      </x:c>
      <x:c r="I178" s="9" t="str">
        <x:v>CLEANFLOW | 30姆米砂洗重缎桑蚕真丝黑色通勤开衩半身裙女高级感</x:v>
      </x:c>
      <x:c r="J178" s="9" t="str">
        <x:v>CLEANFLOW</x:v>
      </x:c>
      <x:c r="K178" s="24" t="n">
        <x:v>1578.77</x:v>
      </x:c>
      <x:c r="L178" s="25" t="e">
        <x:f>HYPERLINK("https://item.taobao.com/item.htm?id=739475287769","打开商品")</x:f>
        <x:v>HYPERLINK is not implemented. linkLocation=https://item.taobao.com/item.htm?id=739475287769, friendlyName=打开商品</x:v>
      </x:c>
      <x:c r="M178" s="25" t="e">
        <x:f>HYPERLINK("https://data.zhiyitech.cn/itemDetail/overview/base?itemId=739475287769","打开知衣")</x:f>
        <x:v>HYPERLINK is not implemented. linkLocation=https://data.zhiyitech.cn/itemDetail/overview/base?itemId=739475287769, friendlyName=打开知衣</x:v>
      </x:c>
      <x:c r="N178" s="25" t="e">
        <x:f>HYPERLINK("https://img.alicdn.com/bao/uploaded/i3/852801192/O1CN0198S8pJ1KfzBYTw5qE_!!852801192.jpg","查看主图")</x:f>
        <x:v>HYPERLINK is not implemented. linkLocation=https://img.alicdn.com/bao/uploaded/i3/852801192/O1CN0198S8pJ1KfzBYTw5qE_!!852801192.jpg, friendlyName=查看主图</x:v>
      </x:c>
      <x:c r="O178" s="9" t="str">
        <x:v>标题及既有类目语义复核；CLEANFLOW | 30姆米砂洗重缎桑蚕真丝黑色通勤开衩半身裙女高级感；原类目及标题已能确认半身裙；展示使用已知大类，未知裙长下沉到结构字段，不强猜长短。</x:v>
      </x:c>
      <x:c r="P178" s="9" t="str">
        <x:v>普通男女装</x:v>
      </x:c>
      <x:c r="Q178" s="9" t="str">
        <x:v>W_SKIRTS_AVGPAID_1500_1600_ANNUAL2026.xlsx</x:v>
      </x:c>
      <x:c r="R178" s="9" t="str">
        <x:v>默认</x:v>
      </x:c>
      <x:c r="S178" s="9" t="n">
        <x:v>39</x:v>
      </x:c>
      <x:c r="T178" s="9" t="str">
        <x:v>deede8b56943df4f914be45dba170f12e69064023d6ef0e88dbde1764f6ba23e</x:v>
      </x:c>
      <x:c r="U178" s="9" t="str">
        <x:v>W_SKIRTS_AVGPAID_1500_1600_ANNUAL2026</x:v>
      </x:c>
      <x:c r="V178" s="9" t="str">
        <x:v>W_SKIRTS_AVGPAID_1500_1600_ANNUAL2026.xlsx / 默认 / 第39行 / SHA256 deede8b56943df4f914be45dba170f12e69064023d6ef0e88dbde1764f6ba23e</x:v>
      </x:c>
    </x:row>
    <x:row r="179" ht="58" customHeight="1">
      <x:c r="A179" s="23" t="str">
        <x:v>1041630019277</x:v>
      </x:c>
      <x:c r="B179" s="22"/>
      <x:c r="C179" s="22"/>
      <x:c r="D179" s="22"/>
      <x:c r="E179" s="9" t="str">
        <x:v>裙长未明确</x:v>
      </x:c>
      <x:c r="F179" s="9" t="str">
        <x:v>裙装</x:v>
      </x:c>
      <x:c r="G179" s="9" t="str">
        <x:v>半身裙</x:v>
      </x:c>
      <x:c r="H179" s="9" t="str">
        <x:v>女</x:v>
      </x:c>
      <x:c r="I179" s="9" t="str">
        <x:v>【100%桑蚕丝】CLUB MONACO女士春夏 高腰印花通勤休闲半身裙</x:v>
      </x:c>
      <x:c r="J179" s="9" t="str">
        <x:v>CLUB MONACO</x:v>
      </x:c>
      <x:c r="K179" s="24" t="n">
        <x:v>1778.25</x:v>
      </x:c>
      <x:c r="L179" s="25" t="e">
        <x:f>HYPERLINK("https://item.taobao.com/item.htm?id=1041630019277","打开商品")</x:f>
        <x:v>HYPERLINK is not implemented. linkLocation=https://item.taobao.com/item.htm?id=1041630019277, friendlyName=打开商品</x:v>
      </x:c>
      <x:c r="M179" s="25" t="e">
        <x:f>HYPERLINK("https://data.zhiyitech.cn/itemDetail/overview/base?itemId=1041630019277","打开知衣")</x:f>
        <x:v>HYPERLINK is not implemented. linkLocation=https://data.zhiyitech.cn/itemDetail/overview/base?itemId=1041630019277, friendlyName=打开知衣</x:v>
      </x:c>
      <x:c r="N179" s="25" t="e">
        <x:f>HYPERLINK("https://img.alicdn.com/bao/uploaded/i4/2200548328583/O1CN01KmL3HsEzxmL2vH2e_!!4611686018427380871-0-item_pic.jpg","查看主图")</x:f>
        <x:v>HYPERLINK is not implemented. linkLocation=https://img.alicdn.com/bao/uploaded/i4/2200548328583/O1CN01KmL3HsEzxmL2vH2e_!!4611686018427380871-0-item_pic.jpg, friendlyName=查看主图</x:v>
      </x:c>
      <x:c r="O179" s="9" t="str">
        <x:v>标题及既有类目语义复核；【100%桑蚕丝】CLUB MONACO女士春夏 高腰印花通勤休闲半身裙；原类目及标题已能确认半身裙；展示使用已知大类，未知裙长下沉到结构字段，不强猜长短。</x:v>
      </x:c>
      <x:c r="P179" s="9" t="str">
        <x:v>普通男女装</x:v>
      </x:c>
      <x:c r="Q179" s="9" t="str">
        <x:v>W_SKIRTS_AVGPAID_1700_1800_ANNUAL2026.xlsx</x:v>
      </x:c>
      <x:c r="R179" s="9" t="str">
        <x:v>默认</x:v>
      </x:c>
      <x:c r="S179" s="9" t="n">
        <x:v>291</x:v>
      </x:c>
      <x:c r="T179" s="9" t="str">
        <x:v>c25ed77c53c7c5cfcf728778a0e9b297d8689503f62756a939cbd534ca9b587a</x:v>
      </x:c>
      <x:c r="U179" s="9" t="str">
        <x:v>W_SKIRTS_AVGPAID_1700_1800_ANNUAL2026</x:v>
      </x:c>
      <x:c r="V179" s="9" t="str">
        <x:v>W_SKIRTS_AVGPAID_1700_1800_ANNUAL2026.xlsx / 默认 / 第291行 / SHA256 c25ed77c53c7c5cfcf728778a0e9b297d8689503f62756a939cbd534ca9b587a</x:v>
      </x:c>
    </x:row>
    <x:row r="180" ht="58" customHeight="1">
      <x:c r="A180" s="23" t="str">
        <x:v>877358372530</x:v>
      </x:c>
      <x:c r="B180" s="22"/>
      <x:c r="C180" s="22"/>
      <x:c r="D180" s="22"/>
      <x:c r="E180" s="9" t="str">
        <x:v>裙长未明确</x:v>
      </x:c>
      <x:c r="F180" s="9" t="str">
        <x:v>裙装</x:v>
      </x:c>
      <x:c r="G180" s="9" t="str">
        <x:v>半身裙</x:v>
      </x:c>
      <x:c r="H180" s="9" t="str">
        <x:v>女</x:v>
      </x:c>
      <x:c r="I180" s="9" t="str">
        <x:v>【100%桑蚕丝】博主同款 CLUB MONACO女装缎面鱼尾法式优雅半裙</x:v>
      </x:c>
      <x:c r="J180" s="9" t="str">
        <x:v>CLUB MONACO</x:v>
      </x:c>
      <x:c r="K180" s="24" t="n">
        <x:v>1543.11</x:v>
      </x:c>
      <x:c r="L180" s="25" t="e">
        <x:f>HYPERLINK("https://item.taobao.com/item.htm?id=877358372530","打开商品")</x:f>
        <x:v>HYPERLINK is not implemented. linkLocation=https://item.taobao.com/item.htm?id=877358372530, friendlyName=打开商品</x:v>
      </x:c>
      <x:c r="M180" s="25" t="e">
        <x:f>HYPERLINK("https://data.zhiyitech.cn/itemDetail/overview/base?itemId=877358372530","打开知衣")</x:f>
        <x:v>HYPERLINK is not implemented. linkLocation=https://data.zhiyitech.cn/itemDetail/overview/base?itemId=877358372530, friendlyName=打开知衣</x:v>
      </x:c>
      <x:c r="N180" s="25" t="e">
        <x:f>HYPERLINK("https://img.alicdn.com/bao/uploaded/i4/2200548328583/O1CN01vVbOVhCRmoJ1chua_!!4611686018427380871-0-item_pic.jpg","查看主图")</x:f>
        <x:v>HYPERLINK is not implemented. linkLocation=https://img.alicdn.com/bao/uploaded/i4/2200548328583/O1CN01vVbOVhCRmoJ1chua_!!4611686018427380871-0-item_pic.jpg, friendlyName=查看主图</x:v>
      </x:c>
      <x:c r="O180" s="9" t="str">
        <x:v>标题及既有类目语义复核；【100%桑蚕丝】博主同款 CLUB MONACO女装缎面鱼尾法式优雅半裙；原类目及标题已能确认半身裙；展示使用已知大类，未知裙长下沉到结构字段，不强猜长短。</x:v>
      </x:c>
      <x:c r="P180" s="9" t="str">
        <x:v>普通男女装</x:v>
      </x:c>
      <x:c r="Q180" s="9" t="str">
        <x:v>W_SKIRTS_AVGPAID_1500_1600_ANNUAL2026.xlsx</x:v>
      </x:c>
      <x:c r="R180" s="9" t="str">
        <x:v>默认</x:v>
      </x:c>
      <x:c r="S180" s="9" t="n">
        <x:v>391</x:v>
      </x:c>
      <x:c r="T180" s="9" t="str">
        <x:v>deede8b56943df4f914be45dba170f12e69064023d6ef0e88dbde1764f6ba23e</x:v>
      </x:c>
      <x:c r="U180" s="9" t="str">
        <x:v>W_SKIRTS_AVGPAID_1500_1600_ANNUAL2026</x:v>
      </x:c>
      <x:c r="V180" s="9" t="str">
        <x:v>W_SKIRTS_AVGPAID_1500_1600_ANNUAL2026.xlsx / 默认 / 第391行 / SHA256 deede8b56943df4f914be45dba170f12e69064023d6ef0e88dbde1764f6ba23e</x:v>
      </x:c>
    </x:row>
    <x:row r="181" ht="58" customHeight="1">
      <x:c r="A181" s="23" t="str">
        <x:v>888021885084</x:v>
      </x:c>
      <x:c r="B181" s="22"/>
      <x:c r="C181" s="22"/>
      <x:c r="D181" s="22"/>
      <x:c r="E181" s="9" t="str">
        <x:v>裙长未明确</x:v>
      </x:c>
      <x:c r="F181" s="9" t="str">
        <x:v>裙装</x:v>
      </x:c>
      <x:c r="G181" s="9" t="str">
        <x:v>半身裙</x:v>
      </x:c>
      <x:c r="H181" s="9" t="str">
        <x:v>女</x:v>
      </x:c>
      <x:c r="I181" s="9" t="str">
        <x:v>【100%桑蚕丝】CLUB MONACO女装缎面鱼尾优雅半身裙</x:v>
      </x:c>
      <x:c r="J181" s="9" t="str">
        <x:v>CLUB MONACO</x:v>
      </x:c>
      <x:c r="K181" s="24" t="n">
        <x:v>1341</x:v>
      </x:c>
      <x:c r="L181" s="25" t="e">
        <x:f>HYPERLINK("https://item.taobao.com/item.htm?id=888021885084","打开商品")</x:f>
        <x:v>HYPERLINK is not implemented. linkLocation=https://item.taobao.com/item.htm?id=888021885084, friendlyName=打开商品</x:v>
      </x:c>
      <x:c r="M181" s="25" t="e">
        <x:f>HYPERLINK("https://data.zhiyitech.cn/itemDetail/overview/base?itemId=888021885084","打开知衣")</x:f>
        <x:v>HYPERLINK is not implemented. linkLocation=https://data.zhiyitech.cn/itemDetail/overview/base?itemId=888021885084, friendlyName=打开知衣</x:v>
      </x:c>
      <x:c r="N181" s="25" t="e">
        <x:f>HYPERLINK("https://img.alicdn.com/bao/uploaded/i3/2200548328583/O1CN01rckEOqxiaEI1chua_!!4611686018427380871-0-item_pic.jpg","查看主图")</x:f>
        <x:v>HYPERLINK is not implemented. linkLocation=https://img.alicdn.com/bao/uploaded/i3/2200548328583/O1CN01rckEOqxiaEI1chua_!!4611686018427380871-0-item_pic.jpg, friendlyName=查看主图</x:v>
      </x:c>
      <x:c r="O181" s="9" t="str">
        <x:v>标题及既有类目语义复核；【100%桑蚕丝】CLUB MONACO女装缎面鱼尾优雅半身裙；原类目及标题已能确认半身裙；展示使用已知大类，未知裙长下沉到结构字段，不强猜长短。</x:v>
      </x:c>
      <x:c r="P181" s="9" t="str">
        <x:v>普通男女装</x:v>
      </x:c>
      <x:c r="Q181" s="9" t="str">
        <x:v>W_SKIRTS_AVGPAID_1300_1400_ANNUAL2026.xlsx</x:v>
      </x:c>
      <x:c r="R181" s="9" t="str">
        <x:v>默认</x:v>
      </x:c>
      <x:c r="S181" s="9" t="n">
        <x:v>211</x:v>
      </x:c>
      <x:c r="T181" s="9" t="str">
        <x:v>bd4dae1e08e9eca7ddd0669235bf59107cdc418b9c2898fc16f36a7ab5748692</x:v>
      </x:c>
      <x:c r="U181" s="9" t="str">
        <x:v>W_SKIRTS_AVGPAID_1300_1400_ANNUAL2026</x:v>
      </x:c>
      <x:c r="V181" s="9" t="str">
        <x:v>W_SKIRTS_AVGPAID_1300_1400_ANNUAL2026.xlsx / 默认 / 第211行 / SHA256 bd4dae1e08e9eca7ddd0669235bf59107cdc418b9c2898fc16f36a7ab5748692</x:v>
      </x:c>
    </x:row>
    <x:row r="182" ht="58" customHeight="1">
      <x:c r="A182" s="23" t="str">
        <x:v>573958567043</x:v>
      </x:c>
      <x:c r="B182" s="22"/>
      <x:c r="C182" s="22"/>
      <x:c r="D182" s="22"/>
      <x:c r="E182" s="9" t="str">
        <x:v>裙长未明确</x:v>
      </x:c>
      <x:c r="F182" s="9" t="str">
        <x:v>裙装</x:v>
      </x:c>
      <x:c r="G182" s="9" t="str">
        <x:v>半身裙</x:v>
      </x:c>
      <x:c r="H182" s="9" t="str">
        <x:v>女</x:v>
      </x:c>
      <x:c r="I182" s="9" t="str">
        <x:v>COMME MOI吕燕设计师秋冬女装拱线装饰不规则鱼尾优雅包臀半裙</x:v>
      </x:c>
      <x:c r="J182" s="9" t="str">
        <x:v>CM</x:v>
      </x:c>
      <x:c r="K182" s="24" t="n">
        <x:v>1520.78</x:v>
      </x:c>
      <x:c r="L182" s="25" t="e">
        <x:f>HYPERLINK("https://item.taobao.com/item.htm?id=573958567043","打开商品")</x:f>
        <x:v>HYPERLINK is not implemented. linkLocation=https://item.taobao.com/item.htm?id=573958567043, friendlyName=打开商品</x:v>
      </x:c>
      <x:c r="M182" s="25" t="e">
        <x:f>HYPERLINK("https://data.zhiyitech.cn/itemDetail/overview/base?itemId=573958567043","打开知衣")</x:f>
        <x:v>HYPERLINK is not implemented. linkLocation=https://data.zhiyitech.cn/itemDetail/overview/base?itemId=573958567043, friendlyName=打开知衣</x:v>
      </x:c>
      <x:c r="N182" s="25" t="e">
        <x:f>HYPERLINK("https://img.alicdn.com/bao/uploaded/i3/3665178562/O1CN01UPPRbIeYzUG1chua_!!3665178562.jpg","查看主图")</x:f>
        <x:v>HYPERLINK is not implemented. linkLocation=https://img.alicdn.com/bao/uploaded/i3/3665178562/O1CN01UPPRbIeYzUG1chua_!!3665178562.jpg, friendlyName=查看主图</x:v>
      </x:c>
      <x:c r="O182" s="9" t="str">
        <x:v>标题及既有类目语义复核；COMME MOI吕燕设计师秋冬女装拱线装饰不规则鱼尾优雅包臀半裙；原类目及标题已能确认半身裙；展示使用已知大类，未知裙长下沉到结构字段，不强猜长短。</x:v>
      </x:c>
      <x:c r="P182" s="9" t="str">
        <x:v>普通男女装</x:v>
      </x:c>
      <x:c r="Q182" s="9" t="str">
        <x:v>W_SKIRTS_AVGPAID_1500_1600_ANNUAL2026.xlsx</x:v>
      </x:c>
      <x:c r="R182" s="9" t="str">
        <x:v>默认</x:v>
      </x:c>
      <x:c r="S182" s="9" t="n">
        <x:v>154</x:v>
      </x:c>
      <x:c r="T182" s="9" t="str">
        <x:v>deede8b56943df4f914be45dba170f12e69064023d6ef0e88dbde1764f6ba23e</x:v>
      </x:c>
      <x:c r="U182" s="9" t="str">
        <x:v>W_SKIRTS_AVGPAID_1500_1600_ANNUAL2026</x:v>
      </x:c>
      <x:c r="V182" s="9" t="str">
        <x:v>W_SKIRTS_AVGPAID_1500_1600_ANNUAL2026.xlsx / 默认 / 第154行 / SHA256 deede8b56943df4f914be45dba170f12e69064023d6ef0e88dbde1764f6ba23e</x:v>
      </x:c>
    </x:row>
    <x:row r="183" ht="58" customHeight="1">
      <x:c r="A183" s="23" t="str">
        <x:v>652096943953</x:v>
      </x:c>
      <x:c r="B183" s="22"/>
      <x:c r="C183" s="22"/>
      <x:c r="D183" s="22"/>
      <x:c r="E183" s="9" t="str">
        <x:v>裙长未明确</x:v>
      </x:c>
      <x:c r="F183" s="9" t="str">
        <x:v>裙装</x:v>
      </x:c>
      <x:c r="G183" s="9" t="str">
        <x:v>半身裙</x:v>
      </x:c>
      <x:c r="H183" s="9" t="str">
        <x:v>女</x:v>
      </x:c>
      <x:c r="I183" s="9" t="str">
        <x:v>[刘敏涛同款]COMME MOI吕燕设计师夏季不对称羊毛半身裙百褶裙</x:v>
      </x:c>
      <x:c r="J183" s="9" t="str">
        <x:v>CM</x:v>
      </x:c>
      <x:c r="K183" s="24" t="n">
        <x:v>1518.41</x:v>
      </x:c>
      <x:c r="L183" s="25" t="e">
        <x:f>HYPERLINK("https://item.taobao.com/item.htm?id=652096943953","打开商品")</x:f>
        <x:v>HYPERLINK is not implemented. linkLocation=https://item.taobao.com/item.htm?id=652096943953, friendlyName=打开商品</x:v>
      </x:c>
      <x:c r="M183" s="25" t="e">
        <x:f>HYPERLINK("https://data.zhiyitech.cn/itemDetail/overview/base?itemId=652096943953","打开知衣")</x:f>
        <x:v>HYPERLINK is not implemented. linkLocation=https://data.zhiyitech.cn/itemDetail/overview/base?itemId=652096943953, friendlyName=打开知衣</x:v>
      </x:c>
      <x:c r="N183" s="25" t="e">
        <x:f>HYPERLINK("https://img.alicdn.com/bao/uploaded/i4/3665178562/O1CN01aQsKaE2D7SGMqpedf_!!3665178562.jpg","查看主图")</x:f>
        <x:v>HYPERLINK is not implemented. linkLocation=https://img.alicdn.com/bao/uploaded/i4/3665178562/O1CN01aQsKaE2D7SGMqpedf_!!3665178562.jpg, friendlyName=查看主图</x:v>
      </x:c>
      <x:c r="O183" s="9" t="str">
        <x:v>标题及既有类目语义复核；[刘敏涛同款]COMME MOI吕燕设计师夏季不对称羊毛半身裙百褶裙；原类目及标题已能确认半身裙；展示使用已知大类，未知裙长下沉到结构字段，不强猜长短。</x:v>
      </x:c>
      <x:c r="P183" s="9" t="str">
        <x:v>普通男女装</x:v>
      </x:c>
      <x:c r="Q183" s="9" t="str">
        <x:v>W_SKIRTS_AVGPAID_1500_1600_ANNUAL2026.xlsx</x:v>
      </x:c>
      <x:c r="R183" s="9" t="str">
        <x:v>默认</x:v>
      </x:c>
      <x:c r="S183" s="9" t="n">
        <x:v>480</x:v>
      </x:c>
      <x:c r="T183" s="9" t="str">
        <x:v>deede8b56943df4f914be45dba170f12e69064023d6ef0e88dbde1764f6ba23e</x:v>
      </x:c>
      <x:c r="U183" s="9" t="str">
        <x:v>W_SKIRTS_AVGPAID_1500_1600_ANNUAL2026</x:v>
      </x:c>
      <x:c r="V183" s="9" t="str">
        <x:v>W_SKIRTS_AVGPAID_1500_1600_ANNUAL2026.xlsx / 默认 / 第480行 / SHA256 deede8b56943df4f914be45dba170f12e69064023d6ef0e88dbde1764f6ba23e</x:v>
      </x:c>
    </x:row>
    <x:row r="184" ht="58" customHeight="1">
      <x:c r="A184" s="23" t="str">
        <x:v>669666613668</x:v>
      </x:c>
      <x:c r="B184" s="22"/>
      <x:c r="C184" s="22"/>
      <x:c r="D184" s="22"/>
      <x:c r="E184" s="9" t="str">
        <x:v>裙长未明确</x:v>
      </x:c>
      <x:c r="F184" s="9" t="str">
        <x:v>裙装</x:v>
      </x:c>
      <x:c r="G184" s="9" t="str">
        <x:v>半身裙</x:v>
      </x:c>
      <x:c r="H184" s="9" t="str">
        <x:v>女</x:v>
      </x:c>
      <x:c r="I184" s="9" t="str">
        <x:v>comme moi金属扣装饰直筒半身裙</x:v>
      </x:c>
      <x:c r="J184" s="9" t="str">
        <x:v>CM</x:v>
      </x:c>
      <x:c r="K184" s="24" t="n">
        <x:v>1562.89</x:v>
      </x:c>
      <x:c r="L184" s="25" t="e">
        <x:f>HYPERLINK("https://item.taobao.com/item.htm?id=669666613668","打开商品")</x:f>
        <x:v>HYPERLINK is not implemented. linkLocation=https://item.taobao.com/item.htm?id=669666613668, friendlyName=打开商品</x:v>
      </x:c>
      <x:c r="M184" s="25" t="e">
        <x:f>HYPERLINK("https://data.zhiyitech.cn/itemDetail/overview/base?itemId=669666613668","打开知衣")</x:f>
        <x:v>HYPERLINK is not implemented. linkLocation=https://data.zhiyitech.cn/itemDetail/overview/base?itemId=669666613668, friendlyName=打开知衣</x:v>
      </x:c>
      <x:c r="N184" s="25" t="e">
        <x:f>HYPERLINK("https://img.alicdn.com/bao/uploaded/i1/3665178562/O1CN01InEKlX2D7SGwusTpW_!!3665178562.jpg","查看主图")</x:f>
        <x:v>HYPERLINK is not implemented. linkLocation=https://img.alicdn.com/bao/uploaded/i1/3665178562/O1CN01InEKlX2D7SGwusTpW_!!3665178562.jpg, friendlyName=查看主图</x:v>
      </x:c>
      <x:c r="O184" s="9" t="str">
        <x:v>标题及既有类目语义复核；comme moi金属扣装饰直筒半身裙；原类目及标题已能确认半身裙；展示使用已知大类，未知裙长下沉到结构字段，不强猜长短。</x:v>
      </x:c>
      <x:c r="P184" s="9" t="str">
        <x:v>普通男女装</x:v>
      </x:c>
      <x:c r="Q184" s="9" t="str">
        <x:v>W_SKIRTS_AVGPAID_1500_1600_ANNUAL2026.xlsx</x:v>
      </x:c>
      <x:c r="R184" s="9" t="str">
        <x:v>默认</x:v>
      </x:c>
      <x:c r="S184" s="9" t="n">
        <x:v>470</x:v>
      </x:c>
      <x:c r="T184" s="9" t="str">
        <x:v>deede8b56943df4f914be45dba170f12e69064023d6ef0e88dbde1764f6ba23e</x:v>
      </x:c>
      <x:c r="U184" s="9" t="str">
        <x:v>W_SKIRTS_AVGPAID_1500_1600_ANNUAL2026</x:v>
      </x:c>
      <x:c r="V184" s="9" t="str">
        <x:v>W_SKIRTS_AVGPAID_1500_1600_ANNUAL2026.xlsx / 默认 / 第470行 / SHA256 deede8b56943df4f914be45dba170f12e69064023d6ef0e88dbde1764f6ba23e</x:v>
      </x:c>
    </x:row>
    <x:row r="185" ht="58" customHeight="1">
      <x:c r="A185" s="23" t="str">
        <x:v>768875387897</x:v>
      </x:c>
      <x:c r="B185" s="22"/>
      <x:c r="C185" s="22"/>
      <x:c r="D185" s="22"/>
      <x:c r="E185" s="9" t="str">
        <x:v>裙长未明确</x:v>
      </x:c>
      <x:c r="F185" s="9" t="str">
        <x:v>裙装</x:v>
      </x:c>
      <x:c r="G185" s="9" t="str">
        <x:v>半身裙</x:v>
      </x:c>
      <x:c r="H185" s="9" t="str">
        <x:v>女</x:v>
      </x:c>
      <x:c r="I185" s="9" t="str">
        <x:v>COMME MOI吕燕设计师秋冬女装PU包臀裙复古时髦亮面皮半身裙</x:v>
      </x:c>
      <x:c r="J185" s="9" t="str">
        <x:v>CM</x:v>
      </x:c>
      <x:c r="K185" s="24" t="n">
        <x:v>1576.92</x:v>
      </x:c>
      <x:c r="L185" s="25" t="e">
        <x:f>HYPERLINK("https://item.taobao.com/item.htm?id=768875387897","打开商品")</x:f>
        <x:v>HYPERLINK is not implemented. linkLocation=https://item.taobao.com/item.htm?id=768875387897, friendlyName=打开商品</x:v>
      </x:c>
      <x:c r="M185" s="25" t="e">
        <x:f>HYPERLINK("https://data.zhiyitech.cn/itemDetail/overview/base?itemId=768875387897","打开知衣")</x:f>
        <x:v>HYPERLINK is not implemented. linkLocation=https://data.zhiyitech.cn/itemDetail/overview/base?itemId=768875387897, friendlyName=打开知衣</x:v>
      </x:c>
      <x:c r="N185" s="25" t="e">
        <x:f>HYPERLINK("https://img.alicdn.com/bao/uploaded/i2/3665178562/O1CN01avlHJiMFuUG1chua_!!3665178562.jpg","查看主图")</x:f>
        <x:v>HYPERLINK is not implemented. linkLocation=https://img.alicdn.com/bao/uploaded/i2/3665178562/O1CN01avlHJiMFuUG1chua_!!3665178562.jpg, friendlyName=查看主图</x:v>
      </x:c>
      <x:c r="O185" s="9" t="str">
        <x:v>标题及既有类目语义复核；COMME MOI吕燕设计师秋冬女装PU包臀裙复古时髦亮面皮半身裙；原类目及标题已能确认半身裙；展示使用已知大类，未知裙长下沉到结构字段，不强猜长短。</x:v>
      </x:c>
      <x:c r="P185" s="9" t="str">
        <x:v>普通男女装</x:v>
      </x:c>
      <x:c r="Q185" s="9" t="str">
        <x:v>W_SKIRTS_AVGPAID_1500_1600_ANNUAL2026.xlsx</x:v>
      </x:c>
      <x:c r="R185" s="9" t="str">
        <x:v>默认</x:v>
      </x:c>
      <x:c r="S185" s="9" t="n">
        <x:v>476</x:v>
      </x:c>
      <x:c r="T185" s="9" t="str">
        <x:v>deede8b56943df4f914be45dba170f12e69064023d6ef0e88dbde1764f6ba23e</x:v>
      </x:c>
      <x:c r="U185" s="9" t="str">
        <x:v>W_SKIRTS_AVGPAID_1500_1600_ANNUAL2026</x:v>
      </x:c>
      <x:c r="V185" s="9" t="str">
        <x:v>W_SKIRTS_AVGPAID_1500_1600_ANNUAL2026.xlsx / 默认 / 第476行 / SHA256 deede8b56943df4f914be45dba170f12e69064023d6ef0e88dbde1764f6ba23e</x:v>
      </x:c>
    </x:row>
    <x:row r="186" ht="58" customHeight="1">
      <x:c r="A186" s="23" t="str">
        <x:v>812211905119</x:v>
      </x:c>
      <x:c r="B186" s="22"/>
      <x:c r="C186" s="22"/>
      <x:c r="D186" s="22"/>
      <x:c r="E186" s="9" t="str">
        <x:v>裙长未明确</x:v>
      </x:c>
      <x:c r="F186" s="9" t="str">
        <x:v>裙装</x:v>
      </x:c>
      <x:c r="G186" s="9" t="str">
        <x:v>半身裙</x:v>
      </x:c>
      <x:c r="H186" s="9" t="str">
        <x:v>女</x:v>
      </x:c>
      <x:c r="I186" s="9" t="str">
        <x:v>COMME MOI吕燕设计师秋冬女装荷叶边流苏开衩醋酸半裙</x:v>
      </x:c>
      <x:c r="J186" s="9" t="str">
        <x:v>CM</x:v>
      </x:c>
      <x:c r="K186" s="24" t="n">
        <x:v>1735.91</x:v>
      </x:c>
      <x:c r="L186" s="25" t="e">
        <x:f>HYPERLINK("https://item.taobao.com/item.htm?id=812211905119","打开商品")</x:f>
        <x:v>HYPERLINK is not implemented. linkLocation=https://item.taobao.com/item.htm?id=812211905119, friendlyName=打开商品</x:v>
      </x:c>
      <x:c r="M186" s="25" t="e">
        <x:f>HYPERLINK("https://data.zhiyitech.cn/itemDetail/overview/base?itemId=812211905119","打开知衣")</x:f>
        <x:v>HYPERLINK is not implemented. linkLocation=https://data.zhiyitech.cn/itemDetail/overview/base?itemId=812211905119, friendlyName=打开知衣</x:v>
      </x:c>
      <x:c r="N186" s="25" t="e">
        <x:f>HYPERLINK("https://img.alicdn.com/bao/uploaded/i1/3665178562/O1CN01L3WLmSeGUJK1chua_!!3665178562.jpg","查看主图")</x:f>
        <x:v>HYPERLINK is not implemented. linkLocation=https://img.alicdn.com/bao/uploaded/i1/3665178562/O1CN01L3WLmSeGUJK1chua_!!3665178562.jpg, friendlyName=查看主图</x:v>
      </x:c>
      <x:c r="O186" s="9" t="str">
        <x:v>标题及既有类目语义复核；COMME MOI吕燕设计师秋冬女装荷叶边流苏开衩醋酸半裙；原类目及标题已能确认半身裙；展示使用已知大类，未知裙长下沉到结构字段，不强猜长短。</x:v>
      </x:c>
      <x:c r="P186" s="9" t="str">
        <x:v>普通男女装</x:v>
      </x:c>
      <x:c r="Q186" s="9" t="str">
        <x:v>W_SKIRTS_AVGPAID_1700_1800_ANNUAL2026.xlsx</x:v>
      </x:c>
      <x:c r="R186" s="9" t="str">
        <x:v>默认</x:v>
      </x:c>
      <x:c r="S186" s="9" t="n">
        <x:v>465</x:v>
      </x:c>
      <x:c r="T186" s="9" t="str">
        <x:v>c25ed77c53c7c5cfcf728778a0e9b297d8689503f62756a939cbd534ca9b587a</x:v>
      </x:c>
      <x:c r="U186" s="9" t="str">
        <x:v>W_SKIRTS_AVGPAID_1700_1800_ANNUAL2026</x:v>
      </x:c>
      <x:c r="V186" s="9" t="str">
        <x:v>W_SKIRTS_AVGPAID_1700_1800_ANNUAL2026.xlsx / 默认 / 第465行 / SHA256 c25ed77c53c7c5cfcf728778a0e9b297d8689503f62756a939cbd534ca9b587a</x:v>
      </x:c>
    </x:row>
    <x:row r="187" ht="58" customHeight="1">
      <x:c r="A187" s="23" t="str">
        <x:v>838397202858</x:v>
      </x:c>
      <x:c r="B187" s="22"/>
      <x:c r="C187" s="22"/>
      <x:c r="D187" s="22"/>
      <x:c r="E187" s="9" t="str">
        <x:v>裙长未明确</x:v>
      </x:c>
      <x:c r="F187" s="9" t="str">
        <x:v>裙装</x:v>
      </x:c>
      <x:c r="G187" s="9" t="str">
        <x:v>半身裙</x:v>
      </x:c>
      <x:c r="H187" s="9" t="str">
        <x:v>女</x:v>
      </x:c>
      <x:c r="I187" s="9" t="str">
        <x:v>COMME MOI吕燕设计师女装白色绵羊毛舒适保暖不规则半身裙</x:v>
      </x:c>
      <x:c r="J187" s="9" t="str">
        <x:v>CM</x:v>
      </x:c>
      <x:c r="K187" s="24" t="n">
        <x:v>1721.02</x:v>
      </x:c>
      <x:c r="L187" s="25" t="e">
        <x:f>HYPERLINK("https://item.taobao.com/item.htm?id=838397202858","打开商品")</x:f>
        <x:v>HYPERLINK is not implemented. linkLocation=https://item.taobao.com/item.htm?id=838397202858, friendlyName=打开商品</x:v>
      </x:c>
      <x:c r="M187" s="25" t="e">
        <x:f>HYPERLINK("https://data.zhiyitech.cn/itemDetail/overview/base?itemId=838397202858","打开知衣")</x:f>
        <x:v>HYPERLINK is not implemented. linkLocation=https://data.zhiyitech.cn/itemDetail/overview/base?itemId=838397202858, friendlyName=打开知衣</x:v>
      </x:c>
      <x:c r="N187" s="25" t="e">
        <x:f>HYPERLINK("https://img.alicdn.com/bao/uploaded/i2/3665178562/O1CN015gQluZTvw0E1chua_!!3665178562.jpg","查看主图")</x:f>
        <x:v>HYPERLINK is not implemented. linkLocation=https://img.alicdn.com/bao/uploaded/i2/3665178562/O1CN015gQluZTvw0E1chua_!!3665178562.jpg, friendlyName=查看主图</x:v>
      </x:c>
      <x:c r="O187" s="9" t="str">
        <x:v>标题及既有类目语义复核；COMME MOI吕燕设计师女装白色绵羊毛舒适保暖不规则半身裙；原类目及标题已能确认半身裙；展示使用已知大类，未知裙长下沉到结构字段，不强猜长短。</x:v>
      </x:c>
      <x:c r="P187" s="9" t="str">
        <x:v>普通男女装</x:v>
      </x:c>
      <x:c r="Q187" s="9" t="str">
        <x:v>W_SKIRTS_AVGPAID_1700_1800_ANNUAL2026.xlsx</x:v>
      </x:c>
      <x:c r="R187" s="9" t="str">
        <x:v>默认</x:v>
      </x:c>
      <x:c r="S187" s="9" t="n">
        <x:v>402</x:v>
      </x:c>
      <x:c r="T187" s="9" t="str">
        <x:v>c25ed77c53c7c5cfcf728778a0e9b297d8689503f62756a939cbd534ca9b587a</x:v>
      </x:c>
      <x:c r="U187" s="9" t="str">
        <x:v>W_SKIRTS_AVGPAID_1700_1800_ANNUAL2026</x:v>
      </x:c>
      <x:c r="V187" s="9" t="str">
        <x:v>W_SKIRTS_AVGPAID_1700_1800_ANNUAL2026.xlsx / 默认 / 第402行 / SHA256 c25ed77c53c7c5cfcf728778a0e9b297d8689503f62756a939cbd534ca9b587a</x:v>
      </x:c>
    </x:row>
    <x:row r="188" ht="58" customHeight="1">
      <x:c r="A188" s="23" t="str">
        <x:v>889433702067</x:v>
      </x:c>
      <x:c r="B188" s="22"/>
      <x:c r="C188" s="22"/>
      <x:c r="D188" s="22"/>
      <x:c r="E188" s="9" t="str">
        <x:v>裙长未明确</x:v>
      </x:c>
      <x:c r="F188" s="9" t="str">
        <x:v>裙装</x:v>
      </x:c>
      <x:c r="G188" s="9" t="str">
        <x:v>半身裙</x:v>
      </x:c>
      <x:c r="H188" s="9" t="str">
        <x:v>女</x:v>
      </x:c>
      <x:c r="I188" s="9" t="str">
        <x:v>章子怡同款COMME MOI吕燕设计师款女装毛边针织直筒半裙</x:v>
      </x:c>
      <x:c r="J188" s="9" t="str">
        <x:v>CM</x:v>
      </x:c>
      <x:c r="K188" s="24" t="n">
        <x:v>1587.11</x:v>
      </x:c>
      <x:c r="L188" s="25" t="e">
        <x:f>HYPERLINK("https://item.taobao.com/item.htm?id=889433702067","打开商品")</x:f>
        <x:v>HYPERLINK is not implemented. linkLocation=https://item.taobao.com/item.htm?id=889433702067, friendlyName=打开商品</x:v>
      </x:c>
      <x:c r="M188" s="25" t="e">
        <x:f>HYPERLINK("https://data.zhiyitech.cn/itemDetail/overview/base?itemId=889433702067","打开知衣")</x:f>
        <x:v>HYPERLINK is not implemented. linkLocation=https://data.zhiyitech.cn/itemDetail/overview/base?itemId=889433702067, friendlyName=打开知衣</x:v>
      </x:c>
      <x:c r="N188" s="25" t="e">
        <x:f>HYPERLINK("https://img.alicdn.com/bao/uploaded/i2/3665178562/O1CN01EORoCg2D7SFz0e4vj_!!3665178562.jpg","查看主图")</x:f>
        <x:v>HYPERLINK is not implemented. linkLocation=https://img.alicdn.com/bao/uploaded/i2/3665178562/O1CN01EORoCg2D7SFz0e4vj_!!3665178562.jpg, friendlyName=查看主图</x:v>
      </x:c>
      <x:c r="O188" s="9" t="str">
        <x:v>标题及既有类目语义复核；章子怡同款COMME MOI吕燕设计师款女装毛边针织直筒半裙；原类目及标题已能确认半身裙；展示使用已知大类，未知裙长下沉到结构字段，不强猜长短。</x:v>
      </x:c>
      <x:c r="P188" s="9" t="str">
        <x:v>普通男女装</x:v>
      </x:c>
      <x:c r="Q188" s="9" t="str">
        <x:v>W_SKIRTS_AVGPAID_1500_1600_ANNUAL2026.xlsx</x:v>
      </x:c>
      <x:c r="R188" s="9" t="str">
        <x:v>默认</x:v>
      </x:c>
      <x:c r="S188" s="9" t="n">
        <x:v>247</x:v>
      </x:c>
      <x:c r="T188" s="9" t="str">
        <x:v>deede8b56943df4f914be45dba170f12e69064023d6ef0e88dbde1764f6ba23e</x:v>
      </x:c>
      <x:c r="U188" s="9" t="str">
        <x:v>W_SKIRTS_AVGPAID_1500_1600_ANNUAL2026</x:v>
      </x:c>
      <x:c r="V188" s="9" t="str">
        <x:v>W_SKIRTS_AVGPAID_1500_1600_ANNUAL2026.xlsx / 默认 / 第247行 / SHA256 deede8b56943df4f914be45dba170f12e69064023d6ef0e88dbde1764f6ba23e</x:v>
      </x:c>
    </x:row>
    <x:row r="189" ht="58" customHeight="1">
      <x:c r="A189" s="23" t="str">
        <x:v>902549139250</x:v>
      </x:c>
      <x:c r="B189" s="22"/>
      <x:c r="C189" s="22"/>
      <x:c r="D189" s="22"/>
      <x:c r="E189" s="9" t="str">
        <x:v>裙长未明确</x:v>
      </x:c>
      <x:c r="F189" s="9" t="str">
        <x:v>裙装</x:v>
      </x:c>
      <x:c r="G189" s="9" t="str">
        <x:v>半身裙</x:v>
      </x:c>
      <x:c r="H189" s="9" t="str">
        <x:v>女</x:v>
      </x:c>
      <x:c r="I189" s="9" t="str">
        <x:v>[秀场同款]COMME MOI吕燕设计师款女时尚拼纱盘花半裙</x:v>
      </x:c>
      <x:c r="J189" s="9" t="str">
        <x:v>CM</x:v>
      </x:c>
      <x:c r="K189" s="24" t="n">
        <x:v>1584.3</x:v>
      </x:c>
      <x:c r="L189" s="25" t="e">
        <x:f>HYPERLINK("https://item.taobao.com/item.htm?id=902549139250","打开商品")</x:f>
        <x:v>HYPERLINK is not implemented. linkLocation=https://item.taobao.com/item.htm?id=902549139250, friendlyName=打开商品</x:v>
      </x:c>
      <x:c r="M189" s="25" t="e">
        <x:f>HYPERLINK("https://data.zhiyitech.cn/itemDetail/overview/base?itemId=902549139250","打开知衣")</x:f>
        <x:v>HYPERLINK is not implemented. linkLocation=https://data.zhiyitech.cn/itemDetail/overview/base?itemId=902549139250, friendlyName=打开知衣</x:v>
      </x:c>
      <x:c r="N189" s="25" t="e">
        <x:f>HYPERLINK("https://img.alicdn.com/bao/uploaded/i3/3665178562/O1CN01AigPUe0eCWH1chua_!!3665178562.jpg","查看主图")</x:f>
        <x:v>HYPERLINK is not implemented. linkLocation=https://img.alicdn.com/bao/uploaded/i3/3665178562/O1CN01AigPUe0eCWH1chua_!!3665178562.jpg, friendlyName=查看主图</x:v>
      </x:c>
      <x:c r="O189" s="9" t="str">
        <x:v>标题及既有类目语义复核；[秀场同款]COMME MOI吕燕设计师款女时尚拼纱盘花半裙；原类目及标题已能确认半身裙；展示使用已知大类，未知裙长下沉到结构字段，不强猜长短。</x:v>
      </x:c>
      <x:c r="P189" s="9" t="str">
        <x:v>普通男女装</x:v>
      </x:c>
      <x:c r="Q189" s="9" t="str">
        <x:v>W_SKIRTS_AVGPAID_1500_1600_ANNUAL2026.xlsx</x:v>
      </x:c>
      <x:c r="R189" s="9" t="str">
        <x:v>默认</x:v>
      </x:c>
      <x:c r="S189" s="9" t="n">
        <x:v>377</x:v>
      </x:c>
      <x:c r="T189" s="9" t="str">
        <x:v>deede8b56943df4f914be45dba170f12e69064023d6ef0e88dbde1764f6ba23e</x:v>
      </x:c>
      <x:c r="U189" s="9" t="str">
        <x:v>W_SKIRTS_AVGPAID_1500_1600_ANNUAL2026</x:v>
      </x:c>
      <x:c r="V189" s="9" t="str">
        <x:v>W_SKIRTS_AVGPAID_1500_1600_ANNUAL2026.xlsx / 默认 / 第377行 / SHA256 deede8b56943df4f914be45dba170f12e69064023d6ef0e88dbde1764f6ba23e</x:v>
      </x:c>
    </x:row>
    <x:row r="190" ht="58" customHeight="1">
      <x:c r="A190" s="23" t="str">
        <x:v>915179802520</x:v>
      </x:c>
      <x:c r="B190" s="22"/>
      <x:c r="C190" s="22"/>
      <x:c r="D190" s="22"/>
      <x:c r="E190" s="9" t="str">
        <x:v>裙长未明确</x:v>
      </x:c>
      <x:c r="F190" s="9" t="str">
        <x:v>裙装</x:v>
      </x:c>
      <x:c r="G190" s="9" t="str">
        <x:v>半身裙</x:v>
      </x:c>
      <x:c r="H190" s="9" t="str">
        <x:v>女</x:v>
      </x:c>
      <x:c r="I190" s="9" t="str">
        <x:v>[秀场同款]COMME MOI吕燕设计师款女真丝绣花半裙</x:v>
      </x:c>
      <x:c r="J190" s="9" t="str">
        <x:v>CM</x:v>
      </x:c>
      <x:c r="K190" s="24" t="n">
        <x:v>1795.41</x:v>
      </x:c>
      <x:c r="L190" s="25" t="e">
        <x:f>HYPERLINK("https://item.taobao.com/item.htm?id=915179802520","打开商品")</x:f>
        <x:v>HYPERLINK is not implemented. linkLocation=https://item.taobao.com/item.htm?id=915179802520, friendlyName=打开商品</x:v>
      </x:c>
      <x:c r="M190" s="25" t="e">
        <x:f>HYPERLINK("https://data.zhiyitech.cn/itemDetail/overview/base?itemId=915179802520","打开知衣")</x:f>
        <x:v>HYPERLINK is not implemented. linkLocation=https://data.zhiyitech.cn/itemDetail/overview/base?itemId=915179802520, friendlyName=打开知衣</x:v>
      </x:c>
      <x:c r="N190" s="25" t="e">
        <x:f>HYPERLINK("https://img.alicdn.com/bao/uploaded/i4/3665178562/O1CN01wobf08d9FWB1chua_!!3665178562.jpg","查看主图")</x:f>
        <x:v>HYPERLINK is not implemented. linkLocation=https://img.alicdn.com/bao/uploaded/i4/3665178562/O1CN01wobf08d9FWB1chua_!!3665178562.jpg, friendlyName=查看主图</x:v>
      </x:c>
      <x:c r="O190" s="9" t="str">
        <x:v>标题及既有类目语义复核；[秀场同款]COMME MOI吕燕设计师款女真丝绣花半裙；原类目及标题已能确认半身裙；展示使用已知大类，未知裙长下沉到结构字段，不强猜长短。</x:v>
      </x:c>
      <x:c r="P190" s="9" t="str">
        <x:v>普通男女装</x:v>
      </x:c>
      <x:c r="Q190" s="9" t="str">
        <x:v>W_SKIRTS_AVGPAID_1700_1800_ANNUAL2026.xlsx</x:v>
      </x:c>
      <x:c r="R190" s="9" t="str">
        <x:v>默认</x:v>
      </x:c>
      <x:c r="S190" s="9" t="n">
        <x:v>453</x:v>
      </x:c>
      <x:c r="T190" s="9" t="str">
        <x:v>c25ed77c53c7c5cfcf728778a0e9b297d8689503f62756a939cbd534ca9b587a</x:v>
      </x:c>
      <x:c r="U190" s="9" t="str">
        <x:v>W_SKIRTS_AVGPAID_1700_1800_ANNUAL2026</x:v>
      </x:c>
      <x:c r="V190" s="9" t="str">
        <x:v>W_SKIRTS_AVGPAID_1700_1800_ANNUAL2026.xlsx / 默认 / 第453行 / SHA256 c25ed77c53c7c5cfcf728778a0e9b297d8689503f62756a939cbd534ca9b587a</x:v>
      </x:c>
    </x:row>
    <x:row r="191" ht="58" customHeight="1">
      <x:c r="A191" s="23" t="str">
        <x:v>1070361280139</x:v>
      </x:c>
      <x:c r="B191" s="22"/>
      <x:c r="C191" s="22"/>
      <x:c r="D191" s="22"/>
      <x:c r="E191" s="9" t="str">
        <x:v>裙长未明确</x:v>
      </x:c>
      <x:c r="F191" s="9" t="str">
        <x:v>裙装</x:v>
      </x:c>
      <x:c r="G191" s="9" t="str">
        <x:v>半身裙</x:v>
      </x:c>
      <x:c r="H191" s="9" t="str">
        <x:v>女</x:v>
      </x:c>
      <x:c r="I191" s="9" t="str">
        <x:v>CNLEEWEI26秋季新款复古皮质感蕾丝花边A字百搭开衩半身裙皮裙女</x:v>
      </x:c>
      <x:c r="J191" s="9" t="str">
        <x:v>CNLEEWEI</x:v>
      </x:c>
      <x:c r="K191" s="24" t="n">
        <x:v>1300.68</x:v>
      </x:c>
      <x:c r="L191" s="25" t="e">
        <x:f>HYPERLINK("https://item.taobao.com/item.htm?id=1070361280139","打开商品")</x:f>
        <x:v>HYPERLINK is not implemented. linkLocation=https://item.taobao.com/item.htm?id=1070361280139, friendlyName=打开商品</x:v>
      </x:c>
      <x:c r="M191" s="25" t="e">
        <x:f>HYPERLINK("https://data.zhiyitech.cn/itemDetail/overview/base?itemId=1070361280139","打开知衣")</x:f>
        <x:v>HYPERLINK is not implemented. linkLocation=https://data.zhiyitech.cn/itemDetail/overview/base?itemId=1070361280139, friendlyName=打开知衣</x:v>
      </x:c>
      <x:c r="N191" s="25" t="e">
        <x:f>HYPERLINK("https://img.alicdn.com/bao/uploaded/i2/2212398771809/O1CN01IM7KM9rsM7L2vH2e_!!4611686018427383393-0-item_pic.jpg","查看主图")</x:f>
        <x:v>HYPERLINK is not implemented. linkLocation=https://img.alicdn.com/bao/uploaded/i2/2212398771809/O1CN01IM7KM9rsM7L2vH2e_!!4611686018427383393-0-item_pic.jpg, friendlyName=查看主图</x:v>
      </x:c>
      <x:c r="O191" s="9" t="str">
        <x:v>标题及既有类目语义复核；CNLEEWEI26秋季新款复古皮质感蕾丝花边A字百搭开衩半身裙皮裙女；原类目及标题已能确认半身裙；展示使用已知大类，未知裙长下沉到结构字段，不强猜长短。</x:v>
      </x:c>
      <x:c r="P191" s="9" t="str">
        <x:v>普通男女装</x:v>
      </x:c>
      <x:c r="Q191" s="9" t="str">
        <x:v>W_SKIRTS_AVGPAID_1300_1400_ANNUAL2026.xlsx</x:v>
      </x:c>
      <x:c r="R191" s="9" t="str">
        <x:v>默认</x:v>
      </x:c>
      <x:c r="S191" s="9" t="n">
        <x:v>140</x:v>
      </x:c>
      <x:c r="T191" s="9" t="str">
        <x:v>bd4dae1e08e9eca7ddd0669235bf59107cdc418b9c2898fc16f36a7ab5748692</x:v>
      </x:c>
      <x:c r="U191" s="9" t="str">
        <x:v>W_SKIRTS_AVGPAID_1300_1400_ANNUAL2026</x:v>
      </x:c>
      <x:c r="V191" s="9" t="str">
        <x:v>W_SKIRTS_AVGPAID_1300_1400_ANNUAL2026.xlsx / 默认 / 第140行 / SHA256 bd4dae1e08e9eca7ddd0669235bf59107cdc418b9c2898fc16f36a7ab5748692</x:v>
      </x:c>
    </x:row>
    <x:row r="192" ht="58" customHeight="1">
      <x:c r="A192" s="23" t="str">
        <x:v>1041961173604</x:v>
      </x:c>
      <x:c r="B192" s="22"/>
      <x:c r="C192" s="22"/>
      <x:c r="D192" s="22"/>
      <x:c r="E192" s="9" t="str">
        <x:v>裙长未明确</x:v>
      </x:c>
      <x:c r="F192" s="9" t="str">
        <x:v>裙装</x:v>
      </x:c>
      <x:c r="G192" s="9" t="str">
        <x:v>半身裙</x:v>
      </x:c>
      <x:c r="H192" s="9" t="str">
        <x:v>女</x:v>
      </x:c>
      <x:c r="I192" s="9" t="str">
        <x:v>COKEYA/“人鱼公主”~14姆米真丝45度立体斜裁高腰鱼尾半身裙女夏</x:v>
      </x:c>
      <x:c r="J192" s="9" t="str">
        <x:v>COKEYA</x:v>
      </x:c>
      <x:c r="K192" s="24" t="n">
        <x:v>1523.67</x:v>
      </x:c>
      <x:c r="L192" s="25" t="e">
        <x:f>HYPERLINK("https://item.taobao.com/item.htm?id=1041961173604","打开商品")</x:f>
        <x:v>HYPERLINK is not implemented. linkLocation=https://item.taobao.com/item.htm?id=1041961173604, friendlyName=打开商品</x:v>
      </x:c>
      <x:c r="M192" s="25" t="e">
        <x:f>HYPERLINK("https://data.zhiyitech.cn/itemDetail/overview/base?itemId=1041961173604","打开知衣")</x:f>
        <x:v>HYPERLINK is not implemented. linkLocation=https://data.zhiyitech.cn/itemDetail/overview/base?itemId=1041961173604, friendlyName=打开知衣</x:v>
      </x:c>
      <x:c r="N192" s="25" t="e">
        <x:f>HYPERLINK("https://img.alicdn.com/bao/uploaded/i4/2464267184/O1CN01LZJxLVAXm5L2vH2e_!!2464267184.jpg","查看主图")</x:f>
        <x:v>HYPERLINK is not implemented. linkLocation=https://img.alicdn.com/bao/uploaded/i4/2464267184/O1CN01LZJxLVAXm5L2vH2e_!!2464267184.jpg, friendlyName=查看主图</x:v>
      </x:c>
      <x:c r="O192" s="9" t="str">
        <x:v>标题及既有类目语义复核；COKEYA/“人鱼公主”~14姆米真丝45度立体斜裁高腰鱼尾半身裙女夏；原类目及标题已能确认半身裙；展示使用已知大类，未知裙长下沉到结构字段，不强猜长短。</x:v>
      </x:c>
      <x:c r="P192" s="9" t="str">
        <x:v>普通男女装</x:v>
      </x:c>
      <x:c r="Q192" s="9" t="str">
        <x:v>W_SKIRTS_AVGPAID_1500_1600_ANNUAL2026.xlsx</x:v>
      </x:c>
      <x:c r="R192" s="9" t="str">
        <x:v>默认</x:v>
      </x:c>
      <x:c r="S192" s="9" t="n">
        <x:v>38</x:v>
      </x:c>
      <x:c r="T192" s="9" t="str">
        <x:v>deede8b56943df4f914be45dba170f12e69064023d6ef0e88dbde1764f6ba23e</x:v>
      </x:c>
      <x:c r="U192" s="9" t="str">
        <x:v>W_SKIRTS_AVGPAID_1500_1600_ANNUAL2026</x:v>
      </x:c>
      <x:c r="V192" s="9" t="str">
        <x:v>W_SKIRTS_AVGPAID_1500_1600_ANNUAL2026.xlsx / 默认 / 第38行 / SHA256 deede8b56943df4f914be45dba170f12e69064023d6ef0e88dbde1764f6ba23e</x:v>
      </x:c>
    </x:row>
    <x:row r="193" ht="58" customHeight="1">
      <x:c r="A193" s="23" t="str">
        <x:v>1049872502046</x:v>
      </x:c>
      <x:c r="B193" s="22"/>
      <x:c r="C193" s="22"/>
      <x:c r="D193" s="22"/>
      <x:c r="E193" s="9" t="str">
        <x:v>裙长未明确</x:v>
      </x:c>
      <x:c r="F193" s="9" t="str">
        <x:v>裙装</x:v>
      </x:c>
      <x:c r="G193" s="9" t="str">
        <x:v>半身裙</x:v>
      </x:c>
      <x:c r="H193" s="9" t="str">
        <x:v>女</x:v>
      </x:c>
      <x:c r="I193" s="9" t="str">
        <x:v>COKEYA/云纱拂风~16姆米真丝桑蚕丝多片开叉高腰A字半身裙女夏季</x:v>
      </x:c>
      <x:c r="J193" s="9" t="str">
        <x:v>COKEYA</x:v>
      </x:c>
      <x:c r="K193" s="24" t="n">
        <x:v>1309.67</x:v>
      </x:c>
      <x:c r="L193" s="25" t="e">
        <x:f>HYPERLINK("https://item.taobao.com/item.htm?id=1049872502046","打开商品")</x:f>
        <x:v>HYPERLINK is not implemented. linkLocation=https://item.taobao.com/item.htm?id=1049872502046, friendlyName=打开商品</x:v>
      </x:c>
      <x:c r="M193" s="25" t="e">
        <x:f>HYPERLINK("https://data.zhiyitech.cn/itemDetail/overview/base?itemId=1049872502046","打开知衣")</x:f>
        <x:v>HYPERLINK is not implemented. linkLocation=https://data.zhiyitech.cn/itemDetail/overview/base?itemId=1049872502046, friendlyName=打开知衣</x:v>
      </x:c>
      <x:c r="N193" s="25" t="e">
        <x:f>HYPERLINK("https://img.alicdn.com/bao/uploaded/i4/2464267184/O1CN01gxivjPzgPZK2vH2e_!!2464267184.jpg","查看主图")</x:f>
        <x:v>HYPERLINK is not implemented. linkLocation=https://img.alicdn.com/bao/uploaded/i4/2464267184/O1CN01gxivjPzgPZK2vH2e_!!2464267184.jpg, friendlyName=查看主图</x:v>
      </x:c>
      <x:c r="O193" s="9" t="str">
        <x:v>标题及既有类目语义复核；COKEYA/云纱拂风~16姆米真丝桑蚕丝多片开叉高腰A字半身裙女夏季；原类目及标题已能确认半身裙；展示使用已知大类，未知裙长下沉到结构字段，不强猜长短。</x:v>
      </x:c>
      <x:c r="P193" s="9" t="str">
        <x:v>普通男女装</x:v>
      </x:c>
      <x:c r="Q193" s="9" t="str">
        <x:v>W_SKIRTS_AVGPAID_1300_1400_ANNUAL2026.xlsx</x:v>
      </x:c>
      <x:c r="R193" s="9" t="str">
        <x:v>默认</x:v>
      </x:c>
      <x:c r="S193" s="9" t="n">
        <x:v>66</x:v>
      </x:c>
      <x:c r="T193" s="9" t="str">
        <x:v>bd4dae1e08e9eca7ddd0669235bf59107cdc418b9c2898fc16f36a7ab5748692</x:v>
      </x:c>
      <x:c r="U193" s="9" t="str">
        <x:v>W_SKIRTS_AVGPAID_1300_1400_ANNUAL2026</x:v>
      </x:c>
      <x:c r="V193" s="9" t="str">
        <x:v>W_SKIRTS_AVGPAID_1300_1400_ANNUAL2026.xlsx / 默认 / 第66行 / SHA256 bd4dae1e08e9eca7ddd0669235bf59107cdc418b9c2898fc16f36a7ab5748692</x:v>
      </x:c>
    </x:row>
    <x:row r="194" ht="58" customHeight="1">
      <x:c r="A194" s="23" t="str">
        <x:v>796399485086</x:v>
      </x:c>
      <x:c r="B194" s="22"/>
      <x:c r="C194" s="22"/>
      <x:c r="D194" s="22"/>
      <x:c r="E194" s="9" t="str">
        <x:v>裙长未明确</x:v>
      </x:c>
      <x:c r="F194" s="9" t="str">
        <x:v>裙装</x:v>
      </x:c>
      <x:c r="G194" s="9" t="str">
        <x:v>半身裙</x:v>
      </x:c>
      <x:c r="H194" s="9" t="str">
        <x:v>女</x:v>
      </x:c>
      <x:c r="I194" s="9" t="str">
        <x:v>COKEYA COKEYA/COKEYA/COKEYA/</x:v>
      </x:c>
      <x:c r="J194" s="9" t="str">
        <x:v>COKEYA</x:v>
      </x:c>
      <x:c r="K194" s="24" t="n">
        <x:v>1345.65</x:v>
      </x:c>
      <x:c r="L194" s="25" t="e">
        <x:f>HYPERLINK("https://item.taobao.com/item.htm?id=796399485086","打开商品")</x:f>
        <x:v>HYPERLINK is not implemented. linkLocation=https://item.taobao.com/item.htm?id=796399485086, friendlyName=打开商品</x:v>
      </x:c>
      <x:c r="M194" s="25" t="e">
        <x:f>HYPERLINK("https://data.zhiyitech.cn/itemDetail/overview/base?itemId=796399485086","打开知衣")</x:f>
        <x:v>HYPERLINK is not implemented. linkLocation=https://data.zhiyitech.cn/itemDetail/overview/base?itemId=796399485086, friendlyName=打开知衣</x:v>
      </x:c>
      <x:c r="N194" s="25" t="e">
        <x:f>HYPERLINK("https://img.alicdn.com/bao/uploaded/i2/2464267184/O1CN01OnRWcb22wKUa86Zc9_!!2464267184.jpg","查看主图")</x:f>
        <x:v>HYPERLINK is not implemented. linkLocation=https://img.alicdn.com/bao/uploaded/i2/2464267184/O1CN01OnRWcb22wKUa86Zc9_!!2464267184.jpg, friendlyName=查看主图</x:v>
      </x:c>
      <x:c r="O194" s="9" t="str">
        <x:v>标题及既有类目语义复核；COKEYA COKEYA/COKEYA/COKEYA/；原类目及标题已能确认半身裙；展示使用已知大类，未知裙长下沉到结构字段，不强猜长短。</x:v>
      </x:c>
      <x:c r="P194" s="9" t="str">
        <x:v>普通男女装</x:v>
      </x:c>
      <x:c r="Q194" s="9" t="str">
        <x:v>W_SKIRTS_AVGPAID_1300_1400_ANNUAL2026.xlsx</x:v>
      </x:c>
      <x:c r="R194" s="9" t="str">
        <x:v>默认</x:v>
      </x:c>
      <x:c r="S194" s="9" t="n">
        <x:v>330</x:v>
      </x:c>
      <x:c r="T194" s="9" t="str">
        <x:v>bd4dae1e08e9eca7ddd0669235bf59107cdc418b9c2898fc16f36a7ab5748692</x:v>
      </x:c>
      <x:c r="U194" s="9" t="str">
        <x:v>W_SKIRTS_AVGPAID_1300_1400_ANNUAL2026</x:v>
      </x:c>
      <x:c r="V194" s="9" t="str">
        <x:v>W_SKIRTS_AVGPAID_1300_1400_ANNUAL2026.xlsx / 默认 / 第330行 / SHA256 bd4dae1e08e9eca7ddd0669235bf59107cdc418b9c2898fc16f36a7ab5748692</x:v>
      </x:c>
    </x:row>
    <x:row r="195" ht="58" customHeight="1">
      <x:c r="A195" s="23" t="str">
        <x:v>858718500737</x:v>
      </x:c>
      <x:c r="B195" s="22"/>
      <x:c r="C195" s="22"/>
      <x:c r="D195" s="22"/>
      <x:c r="E195" s="9" t="str">
        <x:v>裙长未明确</x:v>
      </x:c>
      <x:c r="F195" s="9" t="str">
        <x:v>裙装</x:v>
      </x:c>
      <x:c r="G195" s="9" t="str">
        <x:v>半身裙</x:v>
      </x:c>
      <x:c r="H195" s="9" t="str">
        <x:v>女</x:v>
      </x:c>
      <x:c r="I195" s="9" t="str">
        <x:v>COLINWANG-悠然绅影系列|奢牌同源重磅真丝羊毛优雅通勤A字半裙</x:v>
      </x:c>
      <x:c r="J195" s="9" t="str">
        <x:v>COLIN WANG</x:v>
      </x:c>
      <x:c r="K195" s="24" t="n">
        <x:v>1375.88</x:v>
      </x:c>
      <x:c r="L195" s="25" t="e">
        <x:f>HYPERLINK("https://item.taobao.com/item.htm?id=858718500737","打开商品")</x:f>
        <x:v>HYPERLINK is not implemented. linkLocation=https://item.taobao.com/item.htm?id=858718500737, friendlyName=打开商品</x:v>
      </x:c>
      <x:c r="M195" s="25" t="e">
        <x:f>HYPERLINK("https://data.zhiyitech.cn/itemDetail/overview/base?itemId=858718500737","打开知衣")</x:f>
        <x:v>HYPERLINK is not implemented. linkLocation=https://data.zhiyitech.cn/itemDetail/overview/base?itemId=858718500737, friendlyName=打开知衣</x:v>
      </x:c>
      <x:c r="N195" s="25" t="e">
        <x:f>HYPERLINK("https://img.alicdn.com/bao/uploaded/i1/2173363927/O1CN01Dkn4Qs1escNS7hHpa_!!2173363927.jpg","查看主图")</x:f>
        <x:v>HYPERLINK is not implemented. linkLocation=https://img.alicdn.com/bao/uploaded/i1/2173363927/O1CN01Dkn4Qs1escNS7hHpa_!!2173363927.jpg, friendlyName=查看主图</x:v>
      </x:c>
      <x:c r="O195" s="9" t="str">
        <x:v>标题及既有类目语义复核；COLINWANG-悠然绅影系列|奢牌同源重磅真丝羊毛优雅通勤A字半裙；原类目及标题已能确认半身裙；展示使用已知大类，未知裙长下沉到结构字段，不强猜长短。</x:v>
      </x:c>
      <x:c r="P195" s="9" t="str">
        <x:v>普通男女装</x:v>
      </x:c>
      <x:c r="Q195" s="9" t="str">
        <x:v>W_SKIRTS_AVGPAID_1300_1400_ANNUAL2026.xlsx</x:v>
      </x:c>
      <x:c r="R195" s="9" t="str">
        <x:v>默认</x:v>
      </x:c>
      <x:c r="S195" s="9" t="n">
        <x:v>177</x:v>
      </x:c>
      <x:c r="T195" s="9" t="str">
        <x:v>bd4dae1e08e9eca7ddd0669235bf59107cdc418b9c2898fc16f36a7ab5748692</x:v>
      </x:c>
      <x:c r="U195" s="9" t="str">
        <x:v>W_SKIRTS_AVGPAID_1300_1400_ANNUAL2026</x:v>
      </x:c>
      <x:c r="V195" s="9" t="str">
        <x:v>W_SKIRTS_AVGPAID_1300_1400_ANNUAL2026.xlsx / 默认 / 第177行 / SHA256 bd4dae1e08e9eca7ddd0669235bf59107cdc418b9c2898fc16f36a7ab5748692</x:v>
      </x:c>
    </x:row>
    <x:row r="196" ht="58" customHeight="1">
      <x:c r="A196" s="23" t="str">
        <x:v>870491508442</x:v>
      </x:c>
      <x:c r="B196" s="22"/>
      <x:c r="C196" s="22"/>
      <x:c r="D196" s="22"/>
      <x:c r="E196" s="9" t="str">
        <x:v>裙长未明确</x:v>
      </x:c>
      <x:c r="F196" s="9" t="str">
        <x:v>裙装</x:v>
      </x:c>
      <x:c r="G196" s="9" t="str">
        <x:v>半身裙</x:v>
      </x:c>
      <x:c r="H196" s="9" t="str">
        <x:v>女</x:v>
      </x:c>
      <x:c r="I196" s="9" t="str">
        <x:v>COLINWANG进口绵羊皮反绒半裙</x:v>
      </x:c>
      <x:c r="J196" s="9" t="str">
        <x:v>COLIN WANG</x:v>
      </x:c>
      <x:c r="K196" s="24" t="n">
        <x:v>1303.25</x:v>
      </x:c>
      <x:c r="L196" s="25" t="e">
        <x:f>HYPERLINK("https://item.taobao.com/item.htm?id=870491508442","打开商品")</x:f>
        <x:v>HYPERLINK is not implemented. linkLocation=https://item.taobao.com/item.htm?id=870491508442, friendlyName=打开商品</x:v>
      </x:c>
      <x:c r="M196" s="25" t="e">
        <x:f>HYPERLINK("https://data.zhiyitech.cn/itemDetail/overview/base?itemId=870491508442","打开知衣")</x:f>
        <x:v>HYPERLINK is not implemented. linkLocation=https://data.zhiyitech.cn/itemDetail/overview/base?itemId=870491508442, friendlyName=打开知衣</x:v>
      </x:c>
      <x:c r="N196" s="25" t="e">
        <x:f>HYPERLINK("https://img.alicdn.com/bao/uploaded/i1/2173363927/O1CN01gyvY8x1escNPlCY3D_!!2173363927.jpg","查看主图")</x:f>
        <x:v>HYPERLINK is not implemented. linkLocation=https://img.alicdn.com/bao/uploaded/i1/2173363927/O1CN01gyvY8x1escNPlCY3D_!!2173363927.jpg, friendlyName=查看主图</x:v>
      </x:c>
      <x:c r="O196" s="9" t="str">
        <x:v>标题及既有类目语义复核；COLINWANG进口绵羊皮反绒半裙；原类目及标题已能确认半身裙；展示使用已知大类，未知裙长下沉到结构字段，不强猜长短。</x:v>
      </x:c>
      <x:c r="P196" s="9" t="str">
        <x:v>普通男女装</x:v>
      </x:c>
      <x:c r="Q196" s="9" t="str">
        <x:v>W_SKIRTS_AVGPAID_1300_1400_ANNUAL2026.xlsx</x:v>
      </x:c>
      <x:c r="R196" s="9" t="str">
        <x:v>默认</x:v>
      </x:c>
      <x:c r="S196" s="9" t="n">
        <x:v>394</x:v>
      </x:c>
      <x:c r="T196" s="9" t="str">
        <x:v>bd4dae1e08e9eca7ddd0669235bf59107cdc418b9c2898fc16f36a7ab5748692</x:v>
      </x:c>
      <x:c r="U196" s="9" t="str">
        <x:v>W_SKIRTS_AVGPAID_1300_1400_ANNUAL2026</x:v>
      </x:c>
      <x:c r="V196" s="9" t="str">
        <x:v>W_SKIRTS_AVGPAID_1300_1400_ANNUAL2026.xlsx / 默认 / 第394行 / SHA256 bd4dae1e08e9eca7ddd0669235bf59107cdc418b9c2898fc16f36a7ab5748692</x:v>
      </x:c>
    </x:row>
    <x:row r="197" ht="58" customHeight="1">
      <x:c r="A197" s="23" t="str">
        <x:v>967982172597</x:v>
      </x:c>
      <x:c r="B197" s="22"/>
      <x:c r="C197" s="22"/>
      <x:c r="D197" s="22"/>
      <x:c r="E197" s="9" t="str">
        <x:v>裙长未明确</x:v>
      </x:c>
      <x:c r="F197" s="9" t="str">
        <x:v>裙装</x:v>
      </x:c>
      <x:c r="G197" s="9" t="str">
        <x:v>半身裙</x:v>
      </x:c>
      <x:c r="H197" s="9" t="str">
        <x:v>女</x:v>
      </x:c>
      <x:c r="I197" s="9" t="str">
        <x:v>COLINWANG羊皮A字皮半裙</x:v>
      </x:c>
      <x:c r="J197" s="9" t="str">
        <x:v>COLIN WANG</x:v>
      </x:c>
      <x:c r="K197" s="24" t="n">
        <x:v>1766.75</x:v>
      </x:c>
      <x:c r="L197" s="25" t="e">
        <x:f>HYPERLINK("https://item.taobao.com/item.htm?id=967982172597","打开商品")</x:f>
        <x:v>HYPERLINK is not implemented. linkLocation=https://item.taobao.com/item.htm?id=967982172597, friendlyName=打开商品</x:v>
      </x:c>
      <x:c r="M197" s="25" t="e">
        <x:f>HYPERLINK("https://data.zhiyitech.cn/itemDetail/overview/base?itemId=967982172597","打开知衣")</x:f>
        <x:v>HYPERLINK is not implemented. linkLocation=https://data.zhiyitech.cn/itemDetail/overview/base?itemId=967982172597, friendlyName=打开知衣</x:v>
      </x:c>
      <x:c r="N197" s="25" t="e">
        <x:f>HYPERLINK("https://img.alicdn.com/bao/uploaded/i3/2173363927/O1CN01CmzMxX1escRCdEa5b_!!2173363927.jpg","查看主图")</x:f>
        <x:v>HYPERLINK is not implemented. linkLocation=https://img.alicdn.com/bao/uploaded/i3/2173363927/O1CN01CmzMxX1escRCdEa5b_!!2173363927.jpg, friendlyName=查看主图</x:v>
      </x:c>
      <x:c r="O197" s="9" t="str">
        <x:v>标题及既有类目语义复核；COLINWANG羊皮A字皮半裙；原类目及标题已能确认半身裙；展示使用已知大类，未知裙长下沉到结构字段，不强猜长短。</x:v>
      </x:c>
      <x:c r="P197" s="9" t="str">
        <x:v>普通男女装</x:v>
      </x:c>
      <x:c r="Q197" s="9" t="str">
        <x:v>W_SKIRTS_AVGPAID_1700_1800_ANNUAL2026.xlsx</x:v>
      </x:c>
      <x:c r="R197" s="9" t="str">
        <x:v>默认</x:v>
      </x:c>
      <x:c r="S197" s="9" t="n">
        <x:v>71</x:v>
      </x:c>
      <x:c r="T197" s="9" t="str">
        <x:v>c25ed77c53c7c5cfcf728778a0e9b297d8689503f62756a939cbd534ca9b587a</x:v>
      </x:c>
      <x:c r="U197" s="9" t="str">
        <x:v>W_SKIRTS_AVGPAID_1700_1800_ANNUAL2026</x:v>
      </x:c>
      <x:c r="V197" s="9" t="str">
        <x:v>W_SKIRTS_AVGPAID_1700_1800_ANNUAL2026.xlsx / 默认 / 第71行 / SHA256 c25ed77c53c7c5cfcf728778a0e9b297d8689503f62756a939cbd534ca9b587a</x:v>
      </x:c>
    </x:row>
    <x:row r="198" ht="58" customHeight="1">
      <x:c r="A198" s="23" t="str">
        <x:v>971419407748</x:v>
      </x:c>
      <x:c r="B198" s="22"/>
      <x:c r="C198" s="22"/>
      <x:c r="D198" s="22"/>
      <x:c r="E198" s="9" t="str">
        <x:v>裙长未明确</x:v>
      </x:c>
      <x:c r="F198" s="9" t="str">
        <x:v>裙装</x:v>
      </x:c>
      <x:c r="G198" s="9" t="str">
        <x:v>半身裙</x:v>
      </x:c>
      <x:c r="H198" s="9" t="str">
        <x:v>女</x:v>
      </x:c>
      <x:c r="I198" s="9" t="str">
        <x:v>COS女装 修身版型羊毛混纺半身裙</x:v>
      </x:c>
      <x:c r="J198" s="9" t="str">
        <x:v>COS</x:v>
      </x:c>
      <x:c r="K198" s="24" t="n">
        <x:v>1508.91</x:v>
      </x:c>
      <x:c r="L198" s="25" t="e">
        <x:f>HYPERLINK("https://item.taobao.com/item.htm?id=971419407748","打开商品")</x:f>
        <x:v>HYPERLINK is not implemented. linkLocation=https://item.taobao.com/item.htm?id=971419407748, friendlyName=打开商品</x:v>
      </x:c>
      <x:c r="M198" s="25" t="e">
        <x:f>HYPERLINK("https://data.zhiyitech.cn/itemDetail/overview/base?itemId=971419407748","打开知衣")</x:f>
        <x:v>HYPERLINK is not implemented. linkLocation=https://data.zhiyitech.cn/itemDetail/overview/base?itemId=971419407748, friendlyName=打开知衣</x:v>
      </x:c>
      <x:c r="N198" s="25" t="e">
        <x:f>HYPERLINK("https://img.alicdn.com/bao/uploaded/i3/4101595991/O1CN01VqYjqjdOsSB1chua-4101595991.jpg","查看主图")</x:f>
        <x:v>HYPERLINK is not implemented. linkLocation=https://img.alicdn.com/bao/uploaded/i3/4101595991/O1CN01VqYjqjdOsSB1chua-4101595991.jpg, friendlyName=查看主图</x:v>
      </x:c>
      <x:c r="O198" s="9" t="str">
        <x:v>标题及既有类目语义复核；COS女装 修身版型羊毛混纺半身裙；原类目及标题已能确认半身裙；展示使用已知大类，未知裙长下沉到结构字段，不强猜长短。</x:v>
      </x:c>
      <x:c r="P198" s="9" t="str">
        <x:v>普通男女装</x:v>
      </x:c>
      <x:c r="Q198" s="9" t="str">
        <x:v>W_SKIRTS_AVGPAID_1500_1600_ANNUAL2026.xlsx</x:v>
      </x:c>
      <x:c r="R198" s="9" t="str">
        <x:v>默认</x:v>
      </x:c>
      <x:c r="S198" s="9" t="n">
        <x:v>358</x:v>
      </x:c>
      <x:c r="T198" s="9" t="str">
        <x:v>deede8b56943df4f914be45dba170f12e69064023d6ef0e88dbde1764f6ba23e</x:v>
      </x:c>
      <x:c r="U198" s="9" t="str">
        <x:v>W_SKIRTS_AVGPAID_1500_1600_ANNUAL2026</x:v>
      </x:c>
      <x:c r="V198" s="9" t="str">
        <x:v>W_SKIRTS_AVGPAID_1500_1600_ANNUAL2026.xlsx / 默认 / 第358行 / SHA256 deede8b56943df4f914be45dba170f12e69064023d6ef0e88dbde1764f6ba23e</x:v>
      </x:c>
    </x:row>
    <x:row r="199" ht="58" customHeight="1">
      <x:c r="A199" s="23" t="str">
        <x:v>988356258191</x:v>
      </x:c>
      <x:c r="B199" s="22"/>
      <x:c r="C199" s="22"/>
      <x:c r="D199" s="22"/>
      <x:c r="E199" s="9" t="str">
        <x:v>裙长未明确</x:v>
      </x:c>
      <x:c r="F199" s="9" t="str">
        <x:v>裙装</x:v>
      </x:c>
      <x:c r="G199" s="9" t="str">
        <x:v>半身裙</x:v>
      </x:c>
      <x:c r="H199" s="9" t="str">
        <x:v>女</x:v>
      </x:c>
      <x:c r="I199" s="9" t="str">
        <x:v>COS女装 修身版型羊毛铅笔半身裙深灰色新品1324638001</x:v>
      </x:c>
      <x:c r="J199" s="9" t="str">
        <x:v>COS</x:v>
      </x:c>
      <x:c r="K199" s="24" t="n">
        <x:v>1719.46</x:v>
      </x:c>
      <x:c r="L199" s="25" t="e">
        <x:f>HYPERLINK("https://item.taobao.com/item.htm?id=988356258191","打开商品")</x:f>
        <x:v>HYPERLINK is not implemented. linkLocation=https://item.taobao.com/item.htm?id=988356258191, friendlyName=打开商品</x:v>
      </x:c>
      <x:c r="M199" s="25" t="e">
        <x:f>HYPERLINK("https://data.zhiyitech.cn/itemDetail/overview/base?itemId=988356258191","打开知衣")</x:f>
        <x:v>HYPERLINK is not implemented. linkLocation=https://data.zhiyitech.cn/itemDetail/overview/base?itemId=988356258191, friendlyName=打开知衣</x:v>
      </x:c>
      <x:c r="N199" s="25" t="e">
        <x:f>HYPERLINK("https://img.alicdn.com/bao/uploaded/i4/4101595991/O1CN017hKgh9aWlGF1chua-4101595991.jpg","查看主图")</x:f>
        <x:v>HYPERLINK is not implemented. linkLocation=https://img.alicdn.com/bao/uploaded/i4/4101595991/O1CN017hKgh9aWlGF1chua-4101595991.jpg, friendlyName=查看主图</x:v>
      </x:c>
      <x:c r="O199" s="9" t="str">
        <x:v>标题及既有类目语义复核；COS女装 修身版型羊毛铅笔半身裙深灰色新品1324638001；原类目及标题已能确认半身裙；展示使用已知大类，未知裙长下沉到结构字段，不强猜长短。</x:v>
      </x:c>
      <x:c r="P199" s="9" t="str">
        <x:v>普通男女装</x:v>
      </x:c>
      <x:c r="Q199" s="9" t="str">
        <x:v>W_SKIRTS_AVGPAID_1700_1800_ANNUAL2026.xlsx</x:v>
      </x:c>
      <x:c r="R199" s="9" t="str">
        <x:v>默认</x:v>
      </x:c>
      <x:c r="S199" s="9" t="n">
        <x:v>129</x:v>
      </x:c>
      <x:c r="T199" s="9" t="str">
        <x:v>c25ed77c53c7c5cfcf728778a0e9b297d8689503f62756a939cbd534ca9b587a</x:v>
      </x:c>
      <x:c r="U199" s="9" t="str">
        <x:v>W_SKIRTS_AVGPAID_1700_1800_ANNUAL2026</x:v>
      </x:c>
      <x:c r="V199" s="9" t="str">
        <x:v>W_SKIRTS_AVGPAID_1700_1800_ANNUAL2026.xlsx / 默认 / 第129行 / SHA256 c25ed77c53c7c5cfcf728778a0e9b297d8689503f62756a939cbd534ca9b587a</x:v>
      </x:c>
    </x:row>
    <x:row r="200" ht="58" customHeight="1">
      <x:c r="A200" s="23" t="str">
        <x:v>806133630127</x:v>
      </x:c>
      <x:c r="B200" s="22"/>
      <x:c r="C200" s="22"/>
      <x:c r="D200" s="22"/>
      <x:c r="E200" s="9" t="str">
        <x:v>裙长未明确</x:v>
      </x:c>
      <x:c r="F200" s="9" t="str">
        <x:v>裙装</x:v>
      </x:c>
      <x:c r="G200" s="9" t="str">
        <x:v>半身裙</x:v>
      </x:c>
      <x:c r="H200" s="9" t="str">
        <x:v>女</x:v>
      </x:c>
      <x:c r="I200" s="9" t="str">
        <x:v>COSYCOZY 轻薄双层半裙 醋酸天丝亚麻双层设计感卷边半身裙</x:v>
      </x:c>
      <x:c r="J200" s="9" t="str">
        <x:v>COSY COZY</x:v>
      </x:c>
      <x:c r="K200" s="24" t="n">
        <x:v>1762.57</x:v>
      </x:c>
      <x:c r="L200" s="25" t="e">
        <x:f>HYPERLINK("https://item.taobao.com/item.htm?id=806133630127","打开商品")</x:f>
        <x:v>HYPERLINK is not implemented. linkLocation=https://item.taobao.com/item.htm?id=806133630127, friendlyName=打开商品</x:v>
      </x:c>
      <x:c r="M200" s="25" t="e">
        <x:f>HYPERLINK("https://data.zhiyitech.cn/itemDetail/overview/base?itemId=806133630127","打开知衣")</x:f>
        <x:v>HYPERLINK is not implemented. linkLocation=https://data.zhiyitech.cn/itemDetail/overview/base?itemId=806133630127, friendlyName=打开知衣</x:v>
      </x:c>
      <x:c r="N200" s="25" t="e">
        <x:f>HYPERLINK("https://img.alicdn.com/bao/uploaded/i2/2212415883532/O1CN01RKVBoq1bxi3dOcMk6_!!2212415883532.jpg","查看主图")</x:f>
        <x:v>HYPERLINK is not implemented. linkLocation=https://img.alicdn.com/bao/uploaded/i2/2212415883532/O1CN01RKVBoq1bxi3dOcMk6_!!2212415883532.jpg, friendlyName=查看主图</x:v>
      </x:c>
      <x:c r="O200" s="9" t="str">
        <x:v>标题及既有类目语义复核；COSYCOZY 轻薄双层半裙 醋酸天丝亚麻双层设计感卷边半身裙；原类目及标题已能确认半身裙；展示使用已知大类，未知裙长下沉到结构字段，不强猜长短。</x:v>
      </x:c>
      <x:c r="P200" s="9" t="str">
        <x:v>普通男女装</x:v>
      </x:c>
      <x:c r="Q200" s="9" t="str">
        <x:v>W_SKIRTS_AVGPAID_1700_1800_ANNUAL2026.xlsx</x:v>
      </x:c>
      <x:c r="R200" s="9" t="str">
        <x:v>默认</x:v>
      </x:c>
      <x:c r="S200" s="9" t="n">
        <x:v>484</x:v>
      </x:c>
      <x:c r="T200" s="9" t="str">
        <x:v>c25ed77c53c7c5cfcf728778a0e9b297d8689503f62756a939cbd534ca9b587a</x:v>
      </x:c>
      <x:c r="U200" s="9" t="str">
        <x:v>W_SKIRTS_AVGPAID_1700_1800_ANNUAL2026</x:v>
      </x:c>
      <x:c r="V200" s="9" t="str">
        <x:v>W_SKIRTS_AVGPAID_1700_1800_ANNUAL2026.xlsx / 默认 / 第484行 / SHA256 c25ed77c53c7c5cfcf728778a0e9b297d8689503f62756a939cbd534ca9b587a</x:v>
      </x:c>
    </x:row>
    <x:row r="201" ht="58" customHeight="1">
      <x:c r="A201" s="23" t="str">
        <x:v>1024170898393</x:v>
      </x:c>
      <x:c r="B201" s="22"/>
      <x:c r="C201" s="22"/>
      <x:c r="D201" s="22"/>
      <x:c r="E201" s="9" t="str">
        <x:v>裙长未明确</x:v>
      </x:c>
      <x:c r="F201" s="9" t="str">
        <x:v>裙装</x:v>
      </x:c>
      <x:c r="G201" s="9" t="str">
        <x:v>半身裙</x:v>
      </x:c>
      <x:c r="H201" s="9" t="str">
        <x:v>女</x:v>
      </x:c>
      <x:c r="I201" s="9" t="str">
        <x:v>COTEMP 牛角扣拼接百褶裙</x:v>
      </x:c>
      <x:c r="J201" s="9" t="str">
        <x:v>COTEMP</x:v>
      </x:c>
      <x:c r="K201" s="24" t="n">
        <x:v>1571.8</x:v>
      </x:c>
      <x:c r="L201" s="25" t="e">
        <x:f>HYPERLINK("https://item.taobao.com/item.htm?id=1024170898393","打开商品")</x:f>
        <x:v>HYPERLINK is not implemented. linkLocation=https://item.taobao.com/item.htm?id=1024170898393, friendlyName=打开商品</x:v>
      </x:c>
      <x:c r="M201" s="25" t="e">
        <x:f>HYPERLINK("https://data.zhiyitech.cn/itemDetail/overview/base?itemId=1024170898393","打开知衣")</x:f>
        <x:v>HYPERLINK is not implemented. linkLocation=https://data.zhiyitech.cn/itemDetail/overview/base?itemId=1024170898393, friendlyName=打开知衣</x:v>
      </x:c>
      <x:c r="N201" s="25" t="e">
        <x:f>HYPERLINK("https://img.alicdn.com/bao/uploaded/i4/2220483041552/O1CN01vz7iLmc0fDB2vH2e_!!2220483041552.jpg","查看主图")</x:f>
        <x:v>HYPERLINK is not implemented. linkLocation=https://img.alicdn.com/bao/uploaded/i4/2220483041552/O1CN01vz7iLmc0fDB2vH2e_!!2220483041552.jpg, friendlyName=查看主图</x:v>
      </x:c>
      <x:c r="O201" s="9" t="str">
        <x:v>标题及既有类目语义复核；COTEMP 牛角扣拼接百褶裙；原类目及标题已能确认半身裙；展示使用已知大类，未知裙长下沉到结构字段，不强猜长短。</x:v>
      </x:c>
      <x:c r="P201" s="9" t="str">
        <x:v>普通男女装</x:v>
      </x:c>
      <x:c r="Q201" s="9" t="str">
        <x:v>W_SKIRTS_AVGPAID_1500_1600_ANNUAL2026.xlsx</x:v>
      </x:c>
      <x:c r="R201" s="9" t="str">
        <x:v>默认</x:v>
      </x:c>
      <x:c r="S201" s="9" t="n">
        <x:v>186</x:v>
      </x:c>
      <x:c r="T201" s="9" t="str">
        <x:v>deede8b56943df4f914be45dba170f12e69064023d6ef0e88dbde1764f6ba23e</x:v>
      </x:c>
      <x:c r="U201" s="9" t="str">
        <x:v>W_SKIRTS_AVGPAID_1500_1600_ANNUAL2026</x:v>
      </x:c>
      <x:c r="V201" s="9" t="str">
        <x:v>W_SKIRTS_AVGPAID_1500_1600_ANNUAL2026.xlsx / 默认 / 第186行 / SHA256 deede8b56943df4f914be45dba170f12e69064023d6ef0e88dbde1764f6ba23e</x:v>
      </x:c>
    </x:row>
    <x:row r="202" ht="58" customHeight="1">
      <x:c r="A202" s="23" t="str">
        <x:v>1038104167544</x:v>
      </x:c>
      <x:c r="B202" s="22"/>
      <x:c r="C202" s="22"/>
      <x:c r="D202" s="22"/>
      <x:c r="E202" s="9" t="str">
        <x:v>裙长未明确</x:v>
      </x:c>
      <x:c r="F202" s="9" t="str">
        <x:v>裙装</x:v>
      </x:c>
      <x:c r="G202" s="9" t="str">
        <x:v>半身裙</x:v>
      </x:c>
      <x:c r="H202" s="9" t="str">
        <x:v>女</x:v>
      </x:c>
      <x:c r="I202" s="9" t="str">
        <x:v>COTEMP 努克褶皱廓形蓬松气球裙半身裙女士26春夏新款JUNESHAN</x:v>
      </x:c>
      <x:c r="J202" s="9" t="str">
        <x:v>COTEMP</x:v>
      </x:c>
      <x:c r="K202" s="24" t="n">
        <x:v>1525.9</x:v>
      </x:c>
      <x:c r="L202" s="25" t="e">
        <x:f>HYPERLINK("https://item.taobao.com/item.htm?id=1038104167544","打开商品")</x:f>
        <x:v>HYPERLINK is not implemented. linkLocation=https://item.taobao.com/item.htm?id=1038104167544, friendlyName=打开商品</x:v>
      </x:c>
      <x:c r="M202" s="25" t="e">
        <x:f>HYPERLINK("https://data.zhiyitech.cn/itemDetail/overview/base?itemId=1038104167544","打开知衣")</x:f>
        <x:v>HYPERLINK is not implemented. linkLocation=https://data.zhiyitech.cn/itemDetail/overview/base?itemId=1038104167544, friendlyName=打开知衣</x:v>
      </x:c>
      <x:c r="N202" s="25" t="e">
        <x:f>HYPERLINK("https://img.alicdn.com/bao/uploaded/i2/2204762071/O1CN01hgIrRw1RAZOOjRd6Q_!!2204762071.jpg","查看主图")</x:f>
        <x:v>HYPERLINK is not implemented. linkLocation=https://img.alicdn.com/bao/uploaded/i2/2204762071/O1CN01hgIrRw1RAZOOjRd6Q_!!2204762071.jpg, friendlyName=查看主图</x:v>
      </x:c>
      <x:c r="O202" s="9" t="str">
        <x:v>标题及既有类目语义复核；COTEMP 努克褶皱廓形蓬松气球裙半身裙女士26春夏新款JUNESHAN；原类目及标题已能确认半身裙；展示使用已知大类，未知裙长下沉到结构字段，不强猜长短。</x:v>
      </x:c>
      <x:c r="P202" s="9" t="str">
        <x:v>普通男女装</x:v>
      </x:c>
      <x:c r="Q202" s="9" t="str">
        <x:v>W_SKIRTS_AVGPAID_1500_1600_ANNUAL2026.xlsx</x:v>
      </x:c>
      <x:c r="R202" s="9" t="str">
        <x:v>默认</x:v>
      </x:c>
      <x:c r="S202" s="9" t="n">
        <x:v>443</x:v>
      </x:c>
      <x:c r="T202" s="9" t="str">
        <x:v>deede8b56943df4f914be45dba170f12e69064023d6ef0e88dbde1764f6ba23e</x:v>
      </x:c>
      <x:c r="U202" s="9" t="str">
        <x:v>W_SKIRTS_AVGPAID_1500_1600_ANNUAL2026</x:v>
      </x:c>
      <x:c r="V202" s="9" t="str">
        <x:v>W_SKIRTS_AVGPAID_1500_1600_ANNUAL2026.xlsx / 默认 / 第443行 / SHA256 deede8b56943df4f914be45dba170f12e69064023d6ef0e88dbde1764f6ba23e</x:v>
      </x:c>
    </x:row>
    <x:row r="203" ht="58" customHeight="1">
      <x:c r="A203" s="23" t="str">
        <x:v>1056898082546</x:v>
      </x:c>
      <x:c r="B203" s="22"/>
      <x:c r="C203" s="22"/>
      <x:c r="D203" s="22"/>
      <x:c r="E203" s="9" t="str">
        <x:v>裙长未明确</x:v>
      </x:c>
      <x:c r="F203" s="9" t="str">
        <x:v>裙装</x:v>
      </x:c>
      <x:c r="G203" s="9" t="str">
        <x:v>半身裙</x:v>
      </x:c>
      <x:c r="H203" s="9" t="str">
        <x:v>女</x:v>
      </x:c>
      <x:c r="I203" s="9" t="str">
        <x:v>COTEMP 亚拉波点薄透拼接半身裙</x:v>
      </x:c>
      <x:c r="J203" s="9" t="str">
        <x:v>COTEMP</x:v>
      </x:c>
      <x:c r="K203" s="24" t="n">
        <x:v>1400</x:v>
      </x:c>
      <x:c r="L203" s="25" t="e">
        <x:f>HYPERLINK("https://item.taobao.com/item.htm?id=1056898082546","打开商品")</x:f>
        <x:v>HYPERLINK is not implemented. linkLocation=https://item.taobao.com/item.htm?id=1056898082546, friendlyName=打开商品</x:v>
      </x:c>
      <x:c r="M203" s="25" t="e">
        <x:f>HYPERLINK("https://data.zhiyitech.cn/itemDetail/overview/base?itemId=1056898082546","打开知衣")</x:f>
        <x:v>HYPERLINK is not implemented. linkLocation=https://data.zhiyitech.cn/itemDetail/overview/base?itemId=1056898082546, friendlyName=打开知衣</x:v>
      </x:c>
      <x:c r="N203" s="25" t="e">
        <x:f>HYPERLINK("https://img.alicdn.com/bao/uploaded/i4/2220483041552/O1CN01fQddHK56oJD2vH2e_!!2220483041552.jpg","查看主图")</x:f>
        <x:v>HYPERLINK is not implemented. linkLocation=https://img.alicdn.com/bao/uploaded/i4/2220483041552/O1CN01fQddHK56oJD2vH2e_!!2220483041552.jpg, friendlyName=查看主图</x:v>
      </x:c>
      <x:c r="O203" s="9" t="str">
        <x:v>标题及既有类目语义复核；COTEMP 亚拉波点薄透拼接半身裙；原类目及标题已能确认半身裙；展示使用已知大类，未知裙长下沉到结构字段，不强猜长短。</x:v>
      </x:c>
      <x:c r="P203" s="9" t="str">
        <x:v>普通男女装</x:v>
      </x:c>
      <x:c r="Q203" s="9" t="str">
        <x:v>W_SKIRTS_AVGPAID_1300_1400_ANNUAL2026.xlsx</x:v>
      </x:c>
      <x:c r="R203" s="9" t="str">
        <x:v>默认</x:v>
      </x:c>
      <x:c r="S203" s="9" t="n">
        <x:v>42</x:v>
      </x:c>
      <x:c r="T203" s="9" t="str">
        <x:v>bd4dae1e08e9eca7ddd0669235bf59107cdc418b9c2898fc16f36a7ab5748692</x:v>
      </x:c>
      <x:c r="U203" s="9" t="str">
        <x:v>W_SKIRTS_AVGPAID_1300_1400_ANNUAL2026</x:v>
      </x:c>
      <x:c r="V203" s="9" t="str">
        <x:v>W_SKIRTS_AVGPAID_1300_1400_ANNUAL2026.xlsx / 默认 / 第42行 / SHA256 bd4dae1e08e9eca7ddd0669235bf59107cdc418b9c2898fc16f36a7ab5748692</x:v>
      </x:c>
    </x:row>
    <x:row r="204" ht="58" customHeight="1">
      <x:c r="A204" s="23" t="str">
        <x:v>1060501023214</x:v>
      </x:c>
      <x:c r="B204" s="22"/>
      <x:c r="C204" s="22"/>
      <x:c r="D204" s="22"/>
      <x:c r="E204" s="9" t="str">
        <x:v>裙长未明确</x:v>
      </x:c>
      <x:c r="F204" s="9" t="str">
        <x:v>裙装</x:v>
      </x:c>
      <x:c r="G204" s="9" t="str">
        <x:v>半身裙</x:v>
      </x:c>
      <x:c r="H204" s="9" t="str">
        <x:v>女</x:v>
      </x:c>
      <x:c r="I204" s="9" t="str">
        <x:v>【现货】Cotemp 26PF 亚拉真丝薄透拼接半裙 褶皱背心 夹克外套</x:v>
      </x:c>
      <x:c r="J204" s="9" t="str">
        <x:v>COTEMP</x:v>
      </x:c>
      <x:c r="K204" s="24" t="n">
        <x:v>1320.78</x:v>
      </x:c>
      <x:c r="L204" s="25" t="e">
        <x:f>HYPERLINK("https://item.taobao.com/item.htm?id=1060501023214","打开商品")</x:f>
        <x:v>HYPERLINK is not implemented. linkLocation=https://item.taobao.com/item.htm?id=1060501023214, friendlyName=打开商品</x:v>
      </x:c>
      <x:c r="M204" s="25" t="e">
        <x:f>HYPERLINK("https://data.zhiyitech.cn/itemDetail/overview/base?itemId=1060501023214","打开知衣")</x:f>
        <x:v>HYPERLINK is not implemented. linkLocation=https://data.zhiyitech.cn/itemDetail/overview/base?itemId=1060501023214, friendlyName=打开知衣</x:v>
      </x:c>
      <x:c r="N204" s="25" t="e">
        <x:f>HYPERLINK("https://img.alicdn.com/bao/uploaded/i4/761021629/O1CN01aeRFrY1Nu8LG5Nfrb_!!761021629.jpg","查看主图")</x:f>
        <x:v>HYPERLINK is not implemented. linkLocation=https://img.alicdn.com/bao/uploaded/i4/761021629/O1CN01aeRFrY1Nu8LG5Nfrb_!!761021629.jpg, friendlyName=查看主图</x:v>
      </x:c>
      <x:c r="O204" s="9" t="str">
        <x:v>标题及既有类目语义复核；【现货】Cotemp 26PF 亚拉真丝薄透拼接半裙 褶皱背心 夹克外套；原类目及标题已能确认半身裙；展示使用已知大类，未知裙长下沉到结构字段，不强猜长短。</x:v>
      </x:c>
      <x:c r="P204" s="9" t="str">
        <x:v>普通男女装</x:v>
      </x:c>
      <x:c r="Q204" s="9" t="str">
        <x:v>W_SKIRTS_AVGPAID_1300_1400_ANNUAL2026.xlsx</x:v>
      </x:c>
      <x:c r="R204" s="9" t="str">
        <x:v>默认</x:v>
      </x:c>
      <x:c r="S204" s="9" t="n">
        <x:v>120</x:v>
      </x:c>
      <x:c r="T204" s="9" t="str">
        <x:v>bd4dae1e08e9eca7ddd0669235bf59107cdc418b9c2898fc16f36a7ab5748692</x:v>
      </x:c>
      <x:c r="U204" s="9" t="str">
        <x:v>W_SKIRTS_AVGPAID_1300_1400_ANNUAL2026</x:v>
      </x:c>
      <x:c r="V204" s="9" t="str">
        <x:v>W_SKIRTS_AVGPAID_1300_1400_ANNUAL2026.xlsx / 默认 / 第120行 / SHA256 bd4dae1e08e9eca7ddd0669235bf59107cdc418b9c2898fc16f36a7ab5748692</x:v>
      </x:c>
    </x:row>
    <x:row r="205" ht="58" customHeight="1">
      <x:c r="A205" s="23" t="str">
        <x:v>1000487081845</x:v>
      </x:c>
      <x:c r="B205" s="22"/>
      <x:c r="C205" s="22"/>
      <x:c r="D205" s="22"/>
      <x:c r="E205" s="9" t="str">
        <x:v>裙长未明确</x:v>
      </x:c>
      <x:c r="F205" s="9" t="str">
        <x:v>裙装</x:v>
      </x:c>
      <x:c r="G205" s="9" t="str">
        <x:v>半身裙</x:v>
      </x:c>
      <x:c r="H205" s="9" t="str">
        <x:v>女</x:v>
      </x:c>
      <x:c r="I205" s="9" t="str">
        <x:v>哥文花园网纱纱裙2026秋季新款法式温柔风百搭细闪水钻蕾丝半身裙</x:v>
      </x:c>
      <x:c r="J205" s="9" t="str">
        <x:v>COVEN GARDEN/哥文花园</x:v>
      </x:c>
      <x:c r="K205" s="24" t="n">
        <x:v>1774.37</x:v>
      </x:c>
      <x:c r="L205" s="25" t="e">
        <x:f>HYPERLINK("https://item.taobao.com/item.htm?id=1000487081845","打开商品")</x:f>
        <x:v>HYPERLINK is not implemented. linkLocation=https://item.taobao.com/item.htm?id=1000487081845, friendlyName=打开商品</x:v>
      </x:c>
      <x:c r="M205" s="25" t="e">
        <x:f>HYPERLINK("https://data.zhiyitech.cn/itemDetail/overview/base?itemId=1000487081845","打开知衣")</x:f>
        <x:v>HYPERLINK is not implemented. linkLocation=https://data.zhiyitech.cn/itemDetail/overview/base?itemId=1000487081845, friendlyName=打开知衣</x:v>
      </x:c>
      <x:c r="N205" s="25" t="e">
        <x:f>HYPERLINK("https://img.alicdn.com/bao/uploaded/i1/3301937583/O1CN01415WrxRcbkF2R3rs_!!4611686018427384239-0-item_pic.jpg","查看主图")</x:f>
        <x:v>HYPERLINK is not implemented. linkLocation=https://img.alicdn.com/bao/uploaded/i1/3301937583/O1CN01415WrxRcbkF2R3rs_!!4611686018427384239-0-item_pic.jpg, friendlyName=查看主图</x:v>
      </x:c>
      <x:c r="O205" s="9" t="str">
        <x:v>标题及既有类目语义复核；哥文花园网纱纱裙2026秋季新款法式温柔风百搭细闪水钻蕾丝半身裙；原类目及标题已能确认半身裙；展示使用已知大类，未知裙长下沉到结构字段，不强猜长短。</x:v>
      </x:c>
      <x:c r="P205" s="9" t="str">
        <x:v>普通男女装</x:v>
      </x:c>
      <x:c r="Q205" s="9" t="str">
        <x:v>W_SKIRTS_AVGPAID_1700_1800_ANNUAL2026.xlsx</x:v>
      </x:c>
      <x:c r="R205" s="9" t="str">
        <x:v>默认</x:v>
      </x:c>
      <x:c r="S205" s="9" t="n">
        <x:v>177</x:v>
      </x:c>
      <x:c r="T205" s="9" t="str">
        <x:v>c25ed77c53c7c5cfcf728778a0e9b297d8689503f62756a939cbd534ca9b587a</x:v>
      </x:c>
      <x:c r="U205" s="9" t="str">
        <x:v>W_SKIRTS_AVGPAID_1700_1800_ANNUAL2026</x:v>
      </x:c>
      <x:c r="V205" s="9" t="str">
        <x:v>W_SKIRTS_AVGPAID_1700_1800_ANNUAL2026.xlsx / 默认 / 第177行 / SHA256 c25ed77c53c7c5cfcf728778a0e9b297d8689503f62756a939cbd534ca9b587a</x:v>
      </x:c>
    </x:row>
    <x:row r="206" ht="58" customHeight="1">
      <x:c r="A206" s="23" t="str">
        <x:v>1003570935143</x:v>
      </x:c>
      <x:c r="B206" s="22"/>
      <x:c r="C206" s="22"/>
      <x:c r="D206" s="22"/>
      <x:c r="E206" s="9" t="str">
        <x:v>裙长未明确</x:v>
      </x:c>
      <x:c r="F206" s="9" t="str">
        <x:v>裙装</x:v>
      </x:c>
      <x:c r="G206" s="9" t="str">
        <x:v>半身裙</x:v>
      </x:c>
      <x:c r="H206" s="9" t="str">
        <x:v>女</x:v>
      </x:c>
      <x:c r="I206" s="9" t="str">
        <x:v>哥文花园针织伞裙2026秋季新款温柔大气风竖条高腰a字半身裙</x:v>
      </x:c>
      <x:c r="J206" s="9" t="str">
        <x:v>COVEN GARDEN/哥文花园</x:v>
      </x:c>
      <x:c r="K206" s="24" t="n">
        <x:v>1798.4</x:v>
      </x:c>
      <x:c r="L206" s="25" t="e">
        <x:f>HYPERLINK("https://item.taobao.com/item.htm?id=1003570935143","打开商品")</x:f>
        <x:v>HYPERLINK is not implemented. linkLocation=https://item.taobao.com/item.htm?id=1003570935143, friendlyName=打开商品</x:v>
      </x:c>
      <x:c r="M206" s="25" t="e">
        <x:f>HYPERLINK("https://data.zhiyitech.cn/itemDetail/overview/base?itemId=1003570935143","打开知衣")</x:f>
        <x:v>HYPERLINK is not implemented. linkLocation=https://data.zhiyitech.cn/itemDetail/overview/base?itemId=1003570935143, friendlyName=打开知衣</x:v>
      </x:c>
      <x:c r="N206" s="25" t="e">
        <x:f>HYPERLINK("https://img.alicdn.com/bao/uploaded/i2/3301937583/O1CN01jzA6uZWllUB2R3rs_!!4611686018427384239-0-item_pic.jpg","查看主图")</x:f>
        <x:v>HYPERLINK is not implemented. linkLocation=https://img.alicdn.com/bao/uploaded/i2/3301937583/O1CN01jzA6uZWllUB2R3rs_!!4611686018427384239-0-item_pic.jpg, friendlyName=查看主图</x:v>
      </x:c>
      <x:c r="O206" s="9" t="str">
        <x:v>标题及既有类目语义复核；哥文花园针织伞裙2026秋季新款温柔大气风竖条高腰a字半身裙；原类目及标题已能确认半身裙；展示使用已知大类，未知裙长下沉到结构字段，不强猜长短。</x:v>
      </x:c>
      <x:c r="P206" s="9" t="str">
        <x:v>普通男女装</x:v>
      </x:c>
      <x:c r="Q206" s="9" t="str">
        <x:v>W_SKIRTS_AVGPAID_1700_1800_ANNUAL2026.xlsx</x:v>
      </x:c>
      <x:c r="R206" s="9" t="str">
        <x:v>默认</x:v>
      </x:c>
      <x:c r="S206" s="9" t="n">
        <x:v>360</x:v>
      </x:c>
      <x:c r="T206" s="9" t="str">
        <x:v>c25ed77c53c7c5cfcf728778a0e9b297d8689503f62756a939cbd534ca9b587a</x:v>
      </x:c>
      <x:c r="U206" s="9" t="str">
        <x:v>W_SKIRTS_AVGPAID_1700_1800_ANNUAL2026</x:v>
      </x:c>
      <x:c r="V206" s="9" t="str">
        <x:v>W_SKIRTS_AVGPAID_1700_1800_ANNUAL2026.xlsx / 默认 / 第360行 / SHA256 c25ed77c53c7c5cfcf728778a0e9b297d8689503f62756a939cbd534ca9b587a</x:v>
      </x:c>
    </x:row>
    <x:row r="207" ht="58" customHeight="1">
      <x:c r="A207" s="23" t="str">
        <x:v>1075789112897</x:v>
      </x:c>
      <x:c r="B207" s="22"/>
      <x:c r="C207" s="22"/>
      <x:c r="D207" s="22"/>
      <x:c r="E207" s="9" t="str">
        <x:v>裙长未明确</x:v>
      </x:c>
      <x:c r="F207" s="9" t="str">
        <x:v>裙装</x:v>
      </x:c>
      <x:c r="G207" s="9" t="str">
        <x:v>半身裙</x:v>
      </x:c>
      <x:c r="H207" s="9" t="str">
        <x:v>女</x:v>
      </x:c>
      <x:c r="I207" s="9" t="str">
        <x:v>哥文花园仿醋酸缎百褶a字半裙</x:v>
      </x:c>
      <x:c r="J207" s="9" t="str">
        <x:v>COVEN GARDEN/哥文花园</x:v>
      </x:c>
      <x:c r="K207" s="24" t="n">
        <x:v>1332.33</x:v>
      </x:c>
      <x:c r="L207" s="25" t="e">
        <x:f>HYPERLINK("https://item.taobao.com/item.htm?id=1075789112897","打开商品")</x:f>
        <x:v>HYPERLINK is not implemented. linkLocation=https://item.taobao.com/item.htm?id=1075789112897, friendlyName=打开商品</x:v>
      </x:c>
      <x:c r="M207" s="25" t="e">
        <x:f>HYPERLINK("https://data.zhiyitech.cn/itemDetail/overview/base?itemId=1075789112897","打开知衣")</x:f>
        <x:v>HYPERLINK is not implemented. linkLocation=https://data.zhiyitech.cn/itemDetail/overview/base?itemId=1075789112897, friendlyName=打开知衣</x:v>
      </x:c>
      <x:c r="N207" s="25" t="e">
        <x:f>HYPERLINK("https://img.alicdn.com/bao/uploaded/i4/3301937583/O1CN01GdrRXYrcc8I5z6oi_!!4611686018427384239-0-item_pic.jpg","查看主图")</x:f>
        <x:v>HYPERLINK is not implemented. linkLocation=https://img.alicdn.com/bao/uploaded/i4/3301937583/O1CN01GdrRXYrcc8I5z6oi_!!4611686018427384239-0-item_pic.jpg, friendlyName=查看主图</x:v>
      </x:c>
      <x:c r="O207" s="9" t="str">
        <x:v>标题及既有类目语义复核；哥文花园仿醋酸缎百褶a字半裙；原类目及标题已能确认半身裙；展示使用已知大类，未知裙长下沉到结构字段，不强猜长短。</x:v>
      </x:c>
      <x:c r="P207" s="9" t="str">
        <x:v>普通男女装</x:v>
      </x:c>
      <x:c r="Q207" s="9" t="str">
        <x:v>W_SKIRTS_AVGPAID_1300_1400_ANNUAL2026.xlsx</x:v>
      </x:c>
      <x:c r="R207" s="9" t="str">
        <x:v>默认</x:v>
      </x:c>
      <x:c r="S207" s="9" t="n">
        <x:v>386</x:v>
      </x:c>
      <x:c r="T207" s="9" t="str">
        <x:v>bd4dae1e08e9eca7ddd0669235bf59107cdc418b9c2898fc16f36a7ab5748692</x:v>
      </x:c>
      <x:c r="U207" s="9" t="str">
        <x:v>W_SKIRTS_AVGPAID_1300_1400_ANNUAL2026</x:v>
      </x:c>
      <x:c r="V207" s="9" t="str">
        <x:v>W_SKIRTS_AVGPAID_1300_1400_ANNUAL2026.xlsx / 默认 / 第386行 / SHA256 bd4dae1e08e9eca7ddd0669235bf59107cdc418b9c2898fc16f36a7ab5748692</x:v>
      </x:c>
    </x:row>
    <x:row r="208" ht="58" customHeight="1">
      <x:c r="A208" s="23" t="str">
        <x:v>742135632579</x:v>
      </x:c>
      <x:c r="B208" s="22"/>
      <x:c r="C208" s="22"/>
      <x:c r="D208" s="22"/>
      <x:c r="E208" s="9" t="str">
        <x:v>裙长未明确</x:v>
      </x:c>
      <x:c r="F208" s="9" t="str">
        <x:v>裙装</x:v>
      </x:c>
      <x:c r="G208" s="9" t="str">
        <x:v>半身裙</x:v>
      </x:c>
      <x:c r="H208" s="9" t="str">
        <x:v>女</x:v>
      </x:c>
      <x:c r="I208" s="9" t="str">
        <x:v>哥文花园outlets冬季格纹编织呢a字半身裙小香风氛围感穿搭</x:v>
      </x:c>
      <x:c r="J208" s="9" t="str">
        <x:v>COVEN GARDEN/哥文花园</x:v>
      </x:c>
      <x:c r="K208" s="24" t="n">
        <x:v>1350.78</x:v>
      </x:c>
      <x:c r="L208" s="25" t="e">
        <x:f>HYPERLINK("https://item.taobao.com/item.htm?id=742135632579","打开商品")</x:f>
        <x:v>HYPERLINK is not implemented. linkLocation=https://item.taobao.com/item.htm?id=742135632579, friendlyName=打开商品</x:v>
      </x:c>
      <x:c r="M208" s="25" t="e">
        <x:f>HYPERLINK("https://data.zhiyitech.cn/itemDetail/overview/base?itemId=742135632579","打开知衣")</x:f>
        <x:v>HYPERLINK is not implemented. linkLocation=https://data.zhiyitech.cn/itemDetail/overview/base?itemId=742135632579, friendlyName=打开知衣</x:v>
      </x:c>
      <x:c r="N208" s="25" t="e">
        <x:f>HYPERLINK("https://img.alicdn.com/bao/uploaded/i1/2201478920048/O1CN01X6fdl71CE29uf1XAn_!!2201478920048.jpg","查看主图")</x:f>
        <x:v>HYPERLINK is not implemented. linkLocation=https://img.alicdn.com/bao/uploaded/i1/2201478920048/O1CN01X6fdl71CE29uf1XAn_!!2201478920048.jpg, friendlyName=查看主图</x:v>
      </x:c>
      <x:c r="O208" s="9" t="str">
        <x:v>标题及既有类目语义复核；哥文花园outlets冬季格纹编织呢a字半身裙小香风氛围感穿搭；原类目及标题已能确认半身裙；展示使用已知大类，未知裙长下沉到结构字段，不强猜长短。</x:v>
      </x:c>
      <x:c r="P208" s="9" t="str">
        <x:v>普通男女装</x:v>
      </x:c>
      <x:c r="Q208" s="9" t="str">
        <x:v>W_SKIRTS_AVGPAID_1300_1400_ANNUAL2026.xlsx</x:v>
      </x:c>
      <x:c r="R208" s="9" t="str">
        <x:v>默认</x:v>
      </x:c>
      <x:c r="S208" s="9" t="n">
        <x:v>371</x:v>
      </x:c>
      <x:c r="T208" s="9" t="str">
        <x:v>bd4dae1e08e9eca7ddd0669235bf59107cdc418b9c2898fc16f36a7ab5748692</x:v>
      </x:c>
      <x:c r="U208" s="9" t="str">
        <x:v>W_SKIRTS_AVGPAID_1300_1400_ANNUAL2026</x:v>
      </x:c>
      <x:c r="V208" s="9" t="str">
        <x:v>W_SKIRTS_AVGPAID_1300_1400_ANNUAL2026.xlsx / 默认 / 第371行 / SHA256 bd4dae1e08e9eca7ddd0669235bf59107cdc418b9c2898fc16f36a7ab5748692</x:v>
      </x:c>
    </x:row>
    <x:row r="209" ht="58" customHeight="1">
      <x:c r="A209" s="23" t="str">
        <x:v>797109934917</x:v>
      </x:c>
      <x:c r="B209" s="22"/>
      <x:c r="C209" s="22"/>
      <x:c r="D209" s="22"/>
      <x:c r="E209" s="9" t="str">
        <x:v>裙长未明确</x:v>
      </x:c>
      <x:c r="F209" s="9" t="str">
        <x:v>裙装</x:v>
      </x:c>
      <x:c r="G209" s="9" t="str">
        <x:v>半身裙</x:v>
      </x:c>
      <x:c r="H209" s="9" t="str">
        <x:v>女</x:v>
      </x:c>
      <x:c r="I209" s="9" t="str">
        <x:v>哥文花园奥莱秋季新款玫红色复古时髦羊毛呢包臀裙紫红</x:v>
      </x:c>
      <x:c r="J209" s="9" t="str">
        <x:v>COVEN GARDEN/哥文花园</x:v>
      </x:c>
      <x:c r="K209" s="24" t="n">
        <x:v>1335.91</x:v>
      </x:c>
      <x:c r="L209" s="25" t="e">
        <x:f>HYPERLINK("https://item.taobao.com/item.htm?id=797109934917","打开商品")</x:f>
        <x:v>HYPERLINK is not implemented. linkLocation=https://item.taobao.com/item.htm?id=797109934917, friendlyName=打开商品</x:v>
      </x:c>
      <x:c r="M209" s="25" t="e">
        <x:f>HYPERLINK("https://data.zhiyitech.cn/itemDetail/overview/base?itemId=797109934917","打开知衣")</x:f>
        <x:v>HYPERLINK is not implemented. linkLocation=https://data.zhiyitech.cn/itemDetail/overview/base?itemId=797109934917, friendlyName=打开知衣</x:v>
      </x:c>
      <x:c r="N209" s="25" t="e">
        <x:f>HYPERLINK("https://img.alicdn.com/bao/uploaded/i2/2201478920048/O1CN01kxi8RtJbmPL2R3rs_!!4611686018427385712-0-item_pic.jpg","查看主图")</x:f>
        <x:v>HYPERLINK is not implemented. linkLocation=https://img.alicdn.com/bao/uploaded/i2/2201478920048/O1CN01kxi8RtJbmPL2R3rs_!!4611686018427385712-0-item_pic.jpg, friendlyName=查看主图</x:v>
      </x:c>
      <x:c r="O209" s="9" t="str">
        <x:v>标题及既有类目语义复核；哥文花园奥莱秋季新款玫红色复古时髦羊毛呢包臀裙紫红；原类目及标题已能确认半身裙；展示使用已知大类，未知裙长下沉到结构字段，不强猜长短。</x:v>
      </x:c>
      <x:c r="P209" s="9" t="str">
        <x:v>普通男女装</x:v>
      </x:c>
      <x:c r="Q209" s="9" t="str">
        <x:v>W_SKIRTS_AVGPAID_1300_1400_ANNUAL2026.xlsx</x:v>
      </x:c>
      <x:c r="R209" s="9" t="str">
        <x:v>默认</x:v>
      </x:c>
      <x:c r="S209" s="9" t="n">
        <x:v>290</x:v>
      </x:c>
      <x:c r="T209" s="9" t="str">
        <x:v>bd4dae1e08e9eca7ddd0669235bf59107cdc418b9c2898fc16f36a7ab5748692</x:v>
      </x:c>
      <x:c r="U209" s="9" t="str">
        <x:v>W_SKIRTS_AVGPAID_1300_1400_ANNUAL2026</x:v>
      </x:c>
      <x:c r="V209" s="9" t="str">
        <x:v>W_SKIRTS_AVGPAID_1300_1400_ANNUAL2026.xlsx / 默认 / 第290行 / SHA256 bd4dae1e08e9eca7ddd0669235bf59107cdc418b9c2898fc16f36a7ab5748692</x:v>
      </x:c>
    </x:row>
    <x:row r="210" ht="58" customHeight="1">
      <x:c r="A210" s="23" t="str">
        <x:v>822987609104</x:v>
      </x:c>
      <x:c r="B210" s="22"/>
      <x:c r="C210" s="22"/>
      <x:c r="D210" s="22"/>
      <x:c r="E210" s="9" t="str">
        <x:v>裙长未明确</x:v>
      </x:c>
      <x:c r="F210" s="9" t="str">
        <x:v>裙装</x:v>
      </x:c>
      <x:c r="G210" s="9" t="str">
        <x:v>半身裙</x:v>
      </x:c>
      <x:c r="H210" s="9" t="str">
        <x:v>女</x:v>
      </x:c>
      <x:c r="I210" s="9" t="str">
        <x:v>哥文花园蝴蝶结网纱a字半身裙</x:v>
      </x:c>
      <x:c r="J210" s="9" t="str">
        <x:v>COVEN GARDEN/哥文花园</x:v>
      </x:c>
      <x:c r="K210" s="24" t="n">
        <x:v>1581.9</x:v>
      </x:c>
      <x:c r="L210" s="25" t="e">
        <x:f>HYPERLINK("https://item.taobao.com/item.htm?id=822987609104","打开商品")</x:f>
        <x:v>HYPERLINK is not implemented. linkLocation=https://item.taobao.com/item.htm?id=822987609104, friendlyName=打开商品</x:v>
      </x:c>
      <x:c r="M210" s="25" t="e">
        <x:f>HYPERLINK("https://data.zhiyitech.cn/itemDetail/overview/base?itemId=822987609104","打开知衣")</x:f>
        <x:v>HYPERLINK is not implemented. linkLocation=https://data.zhiyitech.cn/itemDetail/overview/base?itemId=822987609104, friendlyName=打开知衣</x:v>
      </x:c>
      <x:c r="N210" s="25" t="e">
        <x:f>HYPERLINK("https://img.alicdn.com/bao/uploaded/i3/3301937583/O1CN01A83P6JhMtaK2R3rs_!!3301937583.jpg","查看主图")</x:f>
        <x:v>HYPERLINK is not implemented. linkLocation=https://img.alicdn.com/bao/uploaded/i3/3301937583/O1CN01A83P6JhMtaK2R3rs_!!3301937583.jpg, friendlyName=查看主图</x:v>
      </x:c>
      <x:c r="O210" s="9" t="str">
        <x:v>标题及既有类目语义复核；哥文花园蝴蝶结网纱a字半身裙；原类目及标题已能确认半身裙；展示使用已知大类，未知裙长下沉到结构字段，不强猜长短。</x:v>
      </x:c>
      <x:c r="P210" s="9" t="str">
        <x:v>普通男女装</x:v>
      </x:c>
      <x:c r="Q210" s="9" t="str">
        <x:v>W_SKIRTS_AVGPAID_1500_1600_ANNUAL2026.xlsx</x:v>
      </x:c>
      <x:c r="R210" s="9" t="str">
        <x:v>默认</x:v>
      </x:c>
      <x:c r="S210" s="9" t="n">
        <x:v>302</x:v>
      </x:c>
      <x:c r="T210" s="9" t="str">
        <x:v>deede8b56943df4f914be45dba170f12e69064023d6ef0e88dbde1764f6ba23e</x:v>
      </x:c>
      <x:c r="U210" s="9" t="str">
        <x:v>W_SKIRTS_AVGPAID_1500_1600_ANNUAL2026</x:v>
      </x:c>
      <x:c r="V210" s="9" t="str">
        <x:v>W_SKIRTS_AVGPAID_1500_1600_ANNUAL2026.xlsx / 默认 / 第302行 / SHA256 deede8b56943df4f914be45dba170f12e69064023d6ef0e88dbde1764f6ba23e</x:v>
      </x:c>
    </x:row>
    <x:row r="211" ht="58" customHeight="1">
      <x:c r="A211" s="23" t="str">
        <x:v>865044401345</x:v>
      </x:c>
      <x:c r="B211" s="22"/>
      <x:c r="C211" s="22"/>
      <x:c r="D211" s="22"/>
      <x:c r="E211" s="9" t="str">
        <x:v>裙长未明确</x:v>
      </x:c>
      <x:c r="F211" s="9" t="str">
        <x:v>裙装</x:v>
      </x:c>
      <x:c r="G211" s="9" t="str">
        <x:v>半身裙</x:v>
      </x:c>
      <x:c r="H211" s="9" t="str">
        <x:v>女</x:v>
      </x:c>
      <x:c r="I211" s="9" t="str">
        <x:v>哥文花园珠片网纱a字半身裙</x:v>
      </x:c>
      <x:c r="J211" s="9" t="str">
        <x:v>COVEN GARDEN/哥文花园</x:v>
      </x:c>
      <x:c r="K211" s="24" t="n">
        <x:v>1775.17</x:v>
      </x:c>
      <x:c r="L211" s="25" t="e">
        <x:f>HYPERLINK("https://item.taobao.com/item.htm?id=865044401345","打开商品")</x:f>
        <x:v>HYPERLINK is not implemented. linkLocation=https://item.taobao.com/item.htm?id=865044401345, friendlyName=打开商品</x:v>
      </x:c>
      <x:c r="M211" s="25" t="e">
        <x:f>HYPERLINK("https://data.zhiyitech.cn/itemDetail/overview/base?itemId=865044401345","打开知衣")</x:f>
        <x:v>HYPERLINK is not implemented. linkLocation=https://data.zhiyitech.cn/itemDetail/overview/base?itemId=865044401345, friendlyName=打开知衣</x:v>
      </x:c>
      <x:c r="N211" s="25" t="e">
        <x:f>HYPERLINK("https://img.alicdn.com/bao/uploaded/i2/3301937583/O1CN01v27PXCAhPjL2R3rs_!!3301937583.jpg","查看主图")</x:f>
        <x:v>HYPERLINK is not implemented. linkLocation=https://img.alicdn.com/bao/uploaded/i2/3301937583/O1CN01v27PXCAhPjL2R3rs_!!3301937583.jpg, friendlyName=查看主图</x:v>
      </x:c>
      <x:c r="O211" s="9" t="str">
        <x:v>标题及既有类目语义复核；哥文花园珠片网纱a字半身裙；原类目及标题已能确认半身裙；展示使用已知大类，未知裙长下沉到结构字段，不强猜长短。</x:v>
      </x:c>
      <x:c r="P211" s="9" t="str">
        <x:v>普通男女装</x:v>
      </x:c>
      <x:c r="Q211" s="9" t="str">
        <x:v>W_SKIRTS_AVGPAID_1700_1800_ANNUAL2026.xlsx</x:v>
      </x:c>
      <x:c r="R211" s="9" t="str">
        <x:v>默认</x:v>
      </x:c>
      <x:c r="S211" s="9" t="n">
        <x:v>115</x:v>
      </x:c>
      <x:c r="T211" s="9" t="str">
        <x:v>c25ed77c53c7c5cfcf728778a0e9b297d8689503f62756a939cbd534ca9b587a</x:v>
      </x:c>
      <x:c r="U211" s="9" t="str">
        <x:v>W_SKIRTS_AVGPAID_1700_1800_ANNUAL2026</x:v>
      </x:c>
      <x:c r="V211" s="9" t="str">
        <x:v>W_SKIRTS_AVGPAID_1700_1800_ANNUAL2026.xlsx / 默认 / 第115行 / SHA256 c25ed77c53c7c5cfcf728778a0e9b297d8689503f62756a939cbd534ca9b587a</x:v>
      </x:c>
    </x:row>
    <x:row r="212" ht="58" customHeight="1">
      <x:c r="A212" s="23" t="str">
        <x:v>909431569520</x:v>
      </x:c>
      <x:c r="B212" s="22"/>
      <x:c r="C212" s="22"/>
      <x:c r="D212" s="22"/>
      <x:c r="E212" s="9" t="str">
        <x:v>裙长未明确</x:v>
      </x:c>
      <x:c r="F212" s="9" t="str">
        <x:v>裙装</x:v>
      </x:c>
      <x:c r="G212" s="9" t="str">
        <x:v>半身裙</x:v>
      </x:c>
      <x:c r="H212" s="9" t="str">
        <x:v>女</x:v>
      </x:c>
      <x:c r="I212" s="9" t="str">
        <x:v>烫金网纱半身裙蛋糕裙</x:v>
      </x:c>
      <x:c r="J212" s="9" t="str">
        <x:v>COVEN GARDEN/哥文花园</x:v>
      </x:c>
      <x:c r="K212" s="24" t="n">
        <x:v>1728.6</x:v>
      </x:c>
      <x:c r="L212" s="25" t="e">
        <x:f>HYPERLINK("https://item.taobao.com/item.htm?id=909431569520","打开商品")</x:f>
        <x:v>HYPERLINK is not implemented. linkLocation=https://item.taobao.com/item.htm?id=909431569520, friendlyName=打开商品</x:v>
      </x:c>
      <x:c r="M212" s="25" t="e">
        <x:f>HYPERLINK("https://data.zhiyitech.cn/itemDetail/overview/base?itemId=909431569520","打开知衣")</x:f>
        <x:v>HYPERLINK is not implemented. linkLocation=https://data.zhiyitech.cn/itemDetail/overview/base?itemId=909431569520, friendlyName=打开知衣</x:v>
      </x:c>
      <x:c r="N212" s="25" t="e">
        <x:f>HYPERLINK("https://img.alicdn.com/bao/uploaded/i1/3301937583/O1CN01VGlcQuvaZOB2R3rs_!!3301937583.jpg","查看主图")</x:f>
        <x:v>HYPERLINK is not implemented. linkLocation=https://img.alicdn.com/bao/uploaded/i1/3301937583/O1CN01VGlcQuvaZOB2R3rs_!!3301937583.jpg, friendlyName=查看主图</x:v>
      </x:c>
      <x:c r="O212" s="9" t="str">
        <x:v>标题及既有类目语义复核；烫金网纱半身裙蛋糕裙；原类目及标题已能确认半身裙；展示使用已知大类，未知裙长下沉到结构字段，不强猜长短。</x:v>
      </x:c>
      <x:c r="P212" s="9" t="str">
        <x:v>普通男女装</x:v>
      </x:c>
      <x:c r="Q212" s="9" t="str">
        <x:v>W_SKIRTS_AVGPAID_1700_1800_ANNUAL2026.xlsx</x:v>
      </x:c>
      <x:c r="R212" s="9" t="str">
        <x:v>默认</x:v>
      </x:c>
      <x:c r="S212" s="9" t="n">
        <x:v>214</x:v>
      </x:c>
      <x:c r="T212" s="9" t="str">
        <x:v>c25ed77c53c7c5cfcf728778a0e9b297d8689503f62756a939cbd534ca9b587a</x:v>
      </x:c>
      <x:c r="U212" s="9" t="str">
        <x:v>W_SKIRTS_AVGPAID_1700_1800_ANNUAL2026</x:v>
      </x:c>
      <x:c r="V212" s="9" t="str">
        <x:v>W_SKIRTS_AVGPAID_1700_1800_ANNUAL2026.xlsx / 默认 / 第214行 / SHA256 c25ed77c53c7c5cfcf728778a0e9b297d8689503f62756a939cbd534ca9b587a</x:v>
      </x:c>
    </x:row>
    <x:row r="213" ht="58" customHeight="1">
      <x:c r="A213" s="23" t="str">
        <x:v>952334833706</x:v>
      </x:c>
      <x:c r="B213" s="22"/>
      <x:c r="C213" s="22"/>
      <x:c r="D213" s="22"/>
      <x:c r="E213" s="9" t="str">
        <x:v>裙长未明确</x:v>
      </x:c>
      <x:c r="F213" s="9" t="str">
        <x:v>裙装</x:v>
      </x:c>
      <x:c r="G213" s="9" t="str">
        <x:v>半身裙</x:v>
      </x:c>
      <x:c r="H213" s="9" t="str">
        <x:v>女</x:v>
      </x:c>
      <x:c r="I213" s="9" t="str">
        <x:v>哥文花园刺绣蕾丝网纱半身裙</x:v>
      </x:c>
      <x:c r="J213" s="9" t="str">
        <x:v>COVEN GARDEN/哥文花园</x:v>
      </x:c>
      <x:c r="K213" s="24" t="n">
        <x:v>1781.86</x:v>
      </x:c>
      <x:c r="L213" s="25" t="e">
        <x:f>HYPERLINK("https://item.taobao.com/item.htm?id=952334833706","打开商品")</x:f>
        <x:v>HYPERLINK is not implemented. linkLocation=https://item.taobao.com/item.htm?id=952334833706, friendlyName=打开商品</x:v>
      </x:c>
      <x:c r="M213" s="25" t="e">
        <x:f>HYPERLINK("https://data.zhiyitech.cn/itemDetail/overview/base?itemId=952334833706","打开知衣")</x:f>
        <x:v>HYPERLINK is not implemented. linkLocation=https://data.zhiyitech.cn/itemDetail/overview/base?itemId=952334833706, friendlyName=打开知衣</x:v>
      </x:c>
      <x:c r="N213" s="25" t="e">
        <x:f>HYPERLINK("https://img.alicdn.com/bao/uploaded/i4/3301937583/O1CN01Xc3ojn3TdcE2R3rs_!!3301937583.jpg","查看主图")</x:f>
        <x:v>HYPERLINK is not implemented. linkLocation=https://img.alicdn.com/bao/uploaded/i4/3301937583/O1CN01Xc3ojn3TdcE2R3rs_!!3301937583.jpg, friendlyName=查看主图</x:v>
      </x:c>
      <x:c r="O213" s="9" t="str">
        <x:v>标题及既有类目语义复核；哥文花园刺绣蕾丝网纱半身裙；原类目及标题已能确认半身裙；展示使用已知大类，未知裙长下沉到结构字段，不强猜长短。</x:v>
      </x:c>
      <x:c r="P213" s="9" t="str">
        <x:v>普通男女装</x:v>
      </x:c>
      <x:c r="Q213" s="9" t="str">
        <x:v>W_SKIRTS_AVGPAID_1700_1800_ANNUAL2026.xlsx</x:v>
      </x:c>
      <x:c r="R213" s="9" t="str">
        <x:v>默认</x:v>
      </x:c>
      <x:c r="S213" s="9" t="n">
        <x:v>252</x:v>
      </x:c>
      <x:c r="T213" s="9" t="str">
        <x:v>c25ed77c53c7c5cfcf728778a0e9b297d8689503f62756a939cbd534ca9b587a</x:v>
      </x:c>
      <x:c r="U213" s="9" t="str">
        <x:v>W_SKIRTS_AVGPAID_1700_1800_ANNUAL2026</x:v>
      </x:c>
      <x:c r="V213" s="9" t="str">
        <x:v>W_SKIRTS_AVGPAID_1700_1800_ANNUAL2026.xlsx / 默认 / 第252行 / SHA256 c25ed77c53c7c5cfcf728778a0e9b297d8689503f62756a939cbd534ca9b587a</x:v>
      </x:c>
    </x:row>
    <x:row r="214" ht="58" customHeight="1">
      <x:c r="A214" s="23" t="str">
        <x:v>973556131864</x:v>
      </x:c>
      <x:c r="B214" s="22"/>
      <x:c r="C214" s="22"/>
      <x:c r="D214" s="22"/>
      <x:c r="E214" s="9" t="str">
        <x:v>裙长未明确</x:v>
      </x:c>
      <x:c r="F214" s="9" t="str">
        <x:v>裙装</x:v>
      </x:c>
      <x:c r="G214" s="9" t="str">
        <x:v>半身裙</x:v>
      </x:c>
      <x:c r="H214" s="9" t="str">
        <x:v>女</x:v>
      </x:c>
      <x:c r="I214" s="9" t="str">
        <x:v>哥文花园复古格子半身裙老钱风</x:v>
      </x:c>
      <x:c r="J214" s="9" t="str">
        <x:v>COVEN GARDEN/哥文花园</x:v>
      </x:c>
      <x:c r="K214" s="24" t="n">
        <x:v>1549.89</x:v>
      </x:c>
      <x:c r="L214" s="25" t="e">
        <x:f>HYPERLINK("https://item.taobao.com/item.htm?id=973556131864","打开商品")</x:f>
        <x:v>HYPERLINK is not implemented. linkLocation=https://item.taobao.com/item.htm?id=973556131864, friendlyName=打开商品</x:v>
      </x:c>
      <x:c r="M214" s="25" t="e">
        <x:f>HYPERLINK("https://data.zhiyitech.cn/itemDetail/overview/base?itemId=973556131864","打开知衣")</x:f>
        <x:v>HYPERLINK is not implemented. linkLocation=https://data.zhiyitech.cn/itemDetail/overview/base?itemId=973556131864, friendlyName=打开知衣</x:v>
      </x:c>
      <x:c r="N214" s="25" t="e">
        <x:f>HYPERLINK("https://img.alicdn.com/bao/uploaded/i4/3301937583/O1CN013nxmNF5QtmL2R3rs_!!3301937583.jpg","查看主图")</x:f>
        <x:v>HYPERLINK is not implemented. linkLocation=https://img.alicdn.com/bao/uploaded/i4/3301937583/O1CN013nxmNF5QtmL2R3rs_!!3301937583.jpg, friendlyName=查看主图</x:v>
      </x:c>
      <x:c r="O214" s="9" t="str">
        <x:v>标题及既有类目语义复核；哥文花园复古格子半身裙老钱风；原类目及标题已能确认半身裙；展示使用已知大类，未知裙长下沉到结构字段，不强猜长短。</x:v>
      </x:c>
      <x:c r="P214" s="9" t="str">
        <x:v>普通男女装</x:v>
      </x:c>
      <x:c r="Q214" s="9" t="str">
        <x:v>W_SKIRTS_AVGPAID_1500_1600_ANNUAL2026.xlsx</x:v>
      </x:c>
      <x:c r="R214" s="9" t="str">
        <x:v>默认</x:v>
      </x:c>
      <x:c r="S214" s="9" t="n">
        <x:v>251</x:v>
      </x:c>
      <x:c r="T214" s="9" t="str">
        <x:v>deede8b56943df4f914be45dba170f12e69064023d6ef0e88dbde1764f6ba23e</x:v>
      </x:c>
      <x:c r="U214" s="9" t="str">
        <x:v>W_SKIRTS_AVGPAID_1500_1600_ANNUAL2026</x:v>
      </x:c>
      <x:c r="V214" s="9" t="str">
        <x:v>W_SKIRTS_AVGPAID_1500_1600_ANNUAL2026.xlsx / 默认 / 第251行 / SHA256 deede8b56943df4f914be45dba170f12e69064023d6ef0e88dbde1764f6ba23e</x:v>
      </x:c>
    </x:row>
    <x:row r="215" ht="58" customHeight="1">
      <x:c r="A215" s="23" t="str">
        <x:v>1031229484725</x:v>
      </x:c>
      <x:c r="B215" s="22"/>
      <x:c r="C215" s="22"/>
      <x:c r="D215" s="22"/>
      <x:c r="E215" s="9" t="str">
        <x:v>裙长未明确</x:v>
      </x:c>
      <x:c r="F215" s="9" t="str">
        <x:v>裙装</x:v>
      </x:c>
      <x:c r="G215" s="9" t="str">
        <x:v>半身裙</x:v>
      </x:c>
      <x:c r="H215" s="9" t="str">
        <x:v>女</x:v>
      </x:c>
      <x:c r="I215" s="9" t="str">
        <x:v>CRUSH Collection2026年春夏新款金银丝撞色简约百褶半裙</x:v>
      </x:c>
      <x:c r="J215" s="9" t="str">
        <x:v>CRUSH COLLECTION</x:v>
      </x:c>
      <x:c r="K215" s="24" t="n">
        <x:v>1331.08</x:v>
      </x:c>
      <x:c r="L215" s="25" t="e">
        <x:f>HYPERLINK("https://item.taobao.com/item.htm?id=1031229484725","打开商品")</x:f>
        <x:v>HYPERLINK is not implemented. linkLocation=https://item.taobao.com/item.htm?id=1031229484725, friendlyName=打开商品</x:v>
      </x:c>
      <x:c r="M215" s="25" t="e">
        <x:f>HYPERLINK("https://data.zhiyitech.cn/itemDetail/overview/base?itemId=1031229484725","打开知衣")</x:f>
        <x:v>HYPERLINK is not implemented. linkLocation=https://data.zhiyitech.cn/itemDetail/overview/base?itemId=1031229484725, friendlyName=打开知衣</x:v>
      </x:c>
      <x:c r="N215" s="25" t="e">
        <x:f>HYPERLINK("https://img.alicdn.com/bao/uploaded/i3/2210458927255/O1CN01td7N885e9XB2vH2e_!!2210458927255.png","查看主图")</x:f>
        <x:v>HYPERLINK is not implemented. linkLocation=https://img.alicdn.com/bao/uploaded/i3/2210458927255/O1CN01td7N885e9XB2vH2e_!!2210458927255.png, friendlyName=查看主图</x:v>
      </x:c>
      <x:c r="O215" s="9" t="str">
        <x:v>标题及既有类目语义复核；CRUSH Collection2026年春夏新款金银丝撞色简约百褶半裙；原类目及标题已能确认半身裙；展示使用已知大类，未知裙长下沉到结构字段，不强猜长短。</x:v>
      </x:c>
      <x:c r="P215" s="9" t="str">
        <x:v>普通男女装</x:v>
      </x:c>
      <x:c r="Q215" s="9" t="str">
        <x:v>W_SKIRTS_AVGPAID_1300_1400_ANNUAL2026.xlsx</x:v>
      </x:c>
      <x:c r="R215" s="9" t="str">
        <x:v>默认</x:v>
      </x:c>
      <x:c r="S215" s="9" t="n">
        <x:v>276</x:v>
      </x:c>
      <x:c r="T215" s="9" t="str">
        <x:v>bd4dae1e08e9eca7ddd0669235bf59107cdc418b9c2898fc16f36a7ab5748692</x:v>
      </x:c>
      <x:c r="U215" s="9" t="str">
        <x:v>W_SKIRTS_AVGPAID_1300_1400_ANNUAL2026</x:v>
      </x:c>
      <x:c r="V215" s="9" t="str">
        <x:v>W_SKIRTS_AVGPAID_1300_1400_ANNUAL2026.xlsx / 默认 / 第276行 / SHA256 bd4dae1e08e9eca7ddd0669235bf59107cdc418b9c2898fc16f36a7ab5748692</x:v>
      </x:c>
    </x:row>
    <x:row r="216" ht="58" customHeight="1">
      <x:c r="A216" s="23" t="str">
        <x:v>929475142522</x:v>
      </x:c>
      <x:c r="B216" s="22"/>
      <x:c r="C216" s="22"/>
      <x:c r="D216" s="22"/>
      <x:c r="E216" s="9" t="str">
        <x:v>裙长未明确</x:v>
      </x:c>
      <x:c r="F216" s="9" t="str">
        <x:v>裙装</x:v>
      </x:c>
      <x:c r="G216" s="9" t="str">
        <x:v>半身裙</x:v>
      </x:c>
      <x:c r="H216" s="9" t="str">
        <x:v>女</x:v>
      </x:c>
      <x:c r="I216" s="9" t="str">
        <x:v>蔡文静同款CRUSH Collection早秋新款复古牛仔感直筒半身裙</x:v>
      </x:c>
      <x:c r="J216" s="9" t="str">
        <x:v>CRUSH COLLECTION</x:v>
      </x:c>
      <x:c r="K216" s="24" t="n">
        <x:v>1774.24</x:v>
      </x:c>
      <x:c r="L216" s="25" t="e">
        <x:f>HYPERLINK("https://item.taobao.com/item.htm?id=929475142522","打开商品")</x:f>
        <x:v>HYPERLINK is not implemented. linkLocation=https://item.taobao.com/item.htm?id=929475142522, friendlyName=打开商品</x:v>
      </x:c>
      <x:c r="M216" s="25" t="e">
        <x:f>HYPERLINK("https://data.zhiyitech.cn/itemDetail/overview/base?itemId=929475142522","打开知衣")</x:f>
        <x:v>HYPERLINK is not implemented. linkLocation=https://data.zhiyitech.cn/itemDetail/overview/base?itemId=929475142522, friendlyName=打开知衣</x:v>
      </x:c>
      <x:c r="N216" s="25" t="e">
        <x:f>HYPERLINK("https://img.alicdn.com/bao/uploaded/i1/2210458927255/O1CN01r4dB30sW8bC2vH2e_!!2210458927255.jpg","查看主图")</x:f>
        <x:v>HYPERLINK is not implemented. linkLocation=https://img.alicdn.com/bao/uploaded/i1/2210458927255/O1CN01r4dB30sW8bC2vH2e_!!2210458927255.jpg, friendlyName=查看主图</x:v>
      </x:c>
      <x:c r="O216" s="9" t="str">
        <x:v>标题及既有类目语义复核；蔡文静同款CRUSH Collection早秋新款复古牛仔感直筒半身裙；原类目及标题已能确认半身裙；展示使用已知大类，未知裙长下沉到结构字段，不强猜长短。</x:v>
      </x:c>
      <x:c r="P216" s="9" t="str">
        <x:v>普通男女装</x:v>
      </x:c>
      <x:c r="Q216" s="9" t="str">
        <x:v>W_SKIRTS_AVGPAID_1700_1800_ANNUAL2026.xlsx</x:v>
      </x:c>
      <x:c r="R216" s="9" t="str">
        <x:v>默认</x:v>
      </x:c>
      <x:c r="S216" s="9" t="n">
        <x:v>335</x:v>
      </x:c>
      <x:c r="T216" s="9" t="str">
        <x:v>c25ed77c53c7c5cfcf728778a0e9b297d8689503f62756a939cbd534ca9b587a</x:v>
      </x:c>
      <x:c r="U216" s="9" t="str">
        <x:v>W_SKIRTS_AVGPAID_1700_1800_ANNUAL2026</x:v>
      </x:c>
      <x:c r="V216" s="9" t="str">
        <x:v>W_SKIRTS_AVGPAID_1700_1800_ANNUAL2026.xlsx / 默认 / 第335行 / SHA256 c25ed77c53c7c5cfcf728778a0e9b297d8689503f62756a939cbd534ca9b587a</x:v>
      </x:c>
    </x:row>
    <x:row r="217" ht="58" customHeight="1">
      <x:c r="A217" s="23" t="str">
        <x:v>1014244987152</x:v>
      </x:c>
      <x:c r="B217" s="22"/>
      <x:c r="C217" s="22"/>
      <x:c r="D217" s="22"/>
      <x:c r="E217" s="9" t="str">
        <x:v>裙长未明确</x:v>
      </x:c>
      <x:c r="F217" s="9" t="str">
        <x:v>裙装</x:v>
      </x:c>
      <x:c r="G217" s="9" t="str">
        <x:v>半身裙</x:v>
      </x:c>
      <x:c r="H217" s="9" t="str">
        <x:v>女</x:v>
      </x:c>
      <x:c r="I217" s="9" t="str">
        <x:v>DAILY ROMANCE蜜糖可可半身裙麂皮绵羊皮气质包臀开衩裙</x:v>
      </x:c>
      <x:c r="J217" s="9" t="str">
        <x:v>DAILY ROMANCE</x:v>
      </x:c>
      <x:c r="K217" s="24" t="n">
        <x:v>1583.33</x:v>
      </x:c>
      <x:c r="L217" s="25" t="e">
        <x:f>HYPERLINK("https://item.taobao.com/item.htm?id=1014244987152","打开商品")</x:f>
        <x:v>HYPERLINK is not implemented. linkLocation=https://item.taobao.com/item.htm?id=1014244987152, friendlyName=打开商品</x:v>
      </x:c>
      <x:c r="M217" s="25" t="e">
        <x:f>HYPERLINK("https://data.zhiyitech.cn/itemDetail/overview/base?itemId=1014244987152","打开知衣")</x:f>
        <x:v>HYPERLINK is not implemented. linkLocation=https://data.zhiyitech.cn/itemDetail/overview/base?itemId=1014244987152, friendlyName=打开知衣</x:v>
      </x:c>
      <x:c r="N217" s="25" t="e">
        <x:f>HYPERLINK("https://img.alicdn.com/bao/uploaded/i4/2676753210/O1CN01MmBz6w1ZaEUT1yvDZ_!!2676753210.jpg","查看主图")</x:f>
        <x:v>HYPERLINK is not implemented. linkLocation=https://img.alicdn.com/bao/uploaded/i4/2676753210/O1CN01MmBz6w1ZaEUT1yvDZ_!!2676753210.jpg, friendlyName=查看主图</x:v>
      </x:c>
      <x:c r="O217" s="9" t="str">
        <x:v>标题及既有类目语义复核；DAILY ROMANCE蜜糖可可半身裙麂皮绵羊皮气质包臀开衩裙；原类目及标题已能确认半身裙；展示使用已知大类，未知裙长下沉到结构字段，不强猜长短。</x:v>
      </x:c>
      <x:c r="P217" s="9" t="str">
        <x:v>普通男女装</x:v>
      </x:c>
      <x:c r="Q217" s="9" t="str">
        <x:v>W_SKIRTS_AVGPAID_1500_1600_ANNUAL2026.xlsx</x:v>
      </x:c>
      <x:c r="R217" s="9" t="str">
        <x:v>默认</x:v>
      </x:c>
      <x:c r="S217" s="9" t="n">
        <x:v>395</x:v>
      </x:c>
      <x:c r="T217" s="9" t="str">
        <x:v>deede8b56943df4f914be45dba170f12e69064023d6ef0e88dbde1764f6ba23e</x:v>
      </x:c>
      <x:c r="U217" s="9" t="str">
        <x:v>W_SKIRTS_AVGPAID_1500_1600_ANNUAL2026</x:v>
      </x:c>
      <x:c r="V217" s="9" t="str">
        <x:v>W_SKIRTS_AVGPAID_1500_1600_ANNUAL2026.xlsx / 默认 / 第395行 / SHA256 deede8b56943df4f914be45dba170f12e69064023d6ef0e88dbde1764f6ba23e</x:v>
      </x:c>
    </x:row>
    <x:row r="218" ht="58" customHeight="1">
      <x:c r="A218" s="23" t="str">
        <x:v>1020820276977</x:v>
      </x:c>
      <x:c r="B218" s="22"/>
      <x:c r="C218" s="22"/>
      <x:c r="D218" s="22"/>
      <x:c r="E218" s="9" t="str">
        <x:v>裙长未明确</x:v>
      </x:c>
      <x:c r="F218" s="9" t="str">
        <x:v>裙装</x:v>
      </x:c>
      <x:c r="G218" s="9" t="str">
        <x:v>半身裙</x:v>
      </x:c>
      <x:c r="H218" s="9" t="str">
        <x:v>女</x:v>
      </x:c>
      <x:c r="I218" s="9" t="str">
        <x:v>DAILY ROMANCE羽毛蕾丝藏蓝半裙黑色亮片气质显瘦半身裙</x:v>
      </x:c>
      <x:c r="J218" s="9" t="str">
        <x:v>DAILY ROMANCE</x:v>
      </x:c>
      <x:c r="K218" s="24" t="n">
        <x:v>1338.39</x:v>
      </x:c>
      <x:c r="L218" s="25" t="e">
        <x:f>HYPERLINK("https://item.taobao.com/item.htm?id=1020820276977","打开商品")</x:f>
        <x:v>HYPERLINK is not implemented. linkLocation=https://item.taobao.com/item.htm?id=1020820276977, friendlyName=打开商品</x:v>
      </x:c>
      <x:c r="M218" s="25" t="e">
        <x:f>HYPERLINK("https://data.zhiyitech.cn/itemDetail/overview/base?itemId=1020820276977","打开知衣")</x:f>
        <x:v>HYPERLINK is not implemented. linkLocation=https://data.zhiyitech.cn/itemDetail/overview/base?itemId=1020820276977, friendlyName=打开知衣</x:v>
      </x:c>
      <x:c r="N218" s="25" t="e">
        <x:f>HYPERLINK("https://img.alicdn.com/bao/uploaded/i4/2676753210/O1CN01jxRwRf1ZaEUcOSvJX_!!2676753210.jpg","查看主图")</x:f>
        <x:v>HYPERLINK is not implemented. linkLocation=https://img.alicdn.com/bao/uploaded/i4/2676753210/O1CN01jxRwRf1ZaEUcOSvJX_!!2676753210.jpg, friendlyName=查看主图</x:v>
      </x:c>
      <x:c r="O218" s="9" t="str">
        <x:v>标题及既有类目语义复核；DAILY ROMANCE羽毛蕾丝藏蓝半裙黑色亮片气质显瘦半身裙；原类目及标题已能确认半身裙；展示使用已知大类，未知裙长下沉到结构字段，不强猜长短。</x:v>
      </x:c>
      <x:c r="P218" s="9" t="str">
        <x:v>普通男女装</x:v>
      </x:c>
      <x:c r="Q218" s="9" t="str">
        <x:v>W_SKIRTS_AVGPAID_1300_1400_ANNUAL2026.xlsx</x:v>
      </x:c>
      <x:c r="R218" s="9" t="str">
        <x:v>默认</x:v>
      </x:c>
      <x:c r="S218" s="9" t="n">
        <x:v>426</x:v>
      </x:c>
      <x:c r="T218" s="9" t="str">
        <x:v>bd4dae1e08e9eca7ddd0669235bf59107cdc418b9c2898fc16f36a7ab5748692</x:v>
      </x:c>
      <x:c r="U218" s="9" t="str">
        <x:v>W_SKIRTS_AVGPAID_1300_1400_ANNUAL2026</x:v>
      </x:c>
      <x:c r="V218" s="9" t="str">
        <x:v>W_SKIRTS_AVGPAID_1300_1400_ANNUAL2026.xlsx / 默认 / 第426行 / SHA256 bd4dae1e08e9eca7ddd0669235bf59107cdc418b9c2898fc16f36a7ab5748692</x:v>
      </x:c>
    </x:row>
    <x:row r="219" ht="58" customHeight="1">
      <x:c r="A219" s="23" t="str">
        <x:v>1053845687742</x:v>
      </x:c>
      <x:c r="B219" s="22"/>
      <x:c r="C219" s="22"/>
      <x:c r="D219" s="22"/>
      <x:c r="E219" s="9" t="str">
        <x:v>裙长未明确</x:v>
      </x:c>
      <x:c r="F219" s="9" t="str">
        <x:v>裙装</x:v>
      </x:c>
      <x:c r="G219" s="9" t="str">
        <x:v>半身裙</x:v>
      </x:c>
      <x:c r="H219" s="9" t="str">
        <x:v>女</x:v>
      </x:c>
      <x:c r="I219" s="9" t="str">
        <x:v>DAILY ROMANCE法式重工亮片钉珠蕾丝半身裙女优雅气质上衣套装</x:v>
      </x:c>
      <x:c r="J219" s="9" t="str">
        <x:v>DAILY ROMANCE</x:v>
      </x:c>
      <x:c r="K219" s="24" t="n">
        <x:v>1315.12</x:v>
      </x:c>
      <x:c r="L219" s="25" t="e">
        <x:f>HYPERLINK("https://item.taobao.com/item.htm?id=1053845687742","打开商品")</x:f>
        <x:v>HYPERLINK is not implemented. linkLocation=https://item.taobao.com/item.htm?id=1053845687742, friendlyName=打开商品</x:v>
      </x:c>
      <x:c r="M219" s="25" t="e">
        <x:f>HYPERLINK("https://data.zhiyitech.cn/itemDetail/overview/base?itemId=1053845687742","打开知衣")</x:f>
        <x:v>HYPERLINK is not implemented. linkLocation=https://data.zhiyitech.cn/itemDetail/overview/base?itemId=1053845687742, friendlyName=打开知衣</x:v>
      </x:c>
      <x:c r="N219" s="25" t="e">
        <x:f>HYPERLINK("https://img.alicdn.com/bao/uploaded/i2/2676753210/O1CN01S2Mv201ZaEVxPnW3m_!!2676753210.jpg","查看主图")</x:f>
        <x:v>HYPERLINK is not implemented. linkLocation=https://img.alicdn.com/bao/uploaded/i2/2676753210/O1CN01S2Mv201ZaEVxPnW3m_!!2676753210.jpg, friendlyName=查看主图</x:v>
      </x:c>
      <x:c r="O219" s="9" t="str">
        <x:v>标题及既有类目语义复核；DAILY ROMANCE法式重工亮片钉珠蕾丝半身裙女优雅气质上衣套装；原类目及标题已能确认半身裙；展示使用已知大类，未知裙长下沉到结构字段，不强猜长短。</x:v>
      </x:c>
      <x:c r="P219" s="9" t="str">
        <x:v>普通男女装</x:v>
      </x:c>
      <x:c r="Q219" s="9" t="str">
        <x:v>W_SKIRTS_AVGPAID_1300_1400_ANNUAL2026.xlsx</x:v>
      </x:c>
      <x:c r="R219" s="9" t="str">
        <x:v>默认</x:v>
      </x:c>
      <x:c r="S219" s="9" t="n">
        <x:v>178</x:v>
      </x:c>
      <x:c r="T219" s="9" t="str">
        <x:v>bd4dae1e08e9eca7ddd0669235bf59107cdc418b9c2898fc16f36a7ab5748692</x:v>
      </x:c>
      <x:c r="U219" s="9" t="str">
        <x:v>W_SKIRTS_AVGPAID_1300_1400_ANNUAL2026</x:v>
      </x:c>
      <x:c r="V219" s="9" t="str">
        <x:v>W_SKIRTS_AVGPAID_1300_1400_ANNUAL2026.xlsx / 默认 / 第178行 / SHA256 bd4dae1e08e9eca7ddd0669235bf59107cdc418b9c2898fc16f36a7ab5748692</x:v>
      </x:c>
    </x:row>
    <x:row r="220" ht="58" customHeight="1">
      <x:c r="A220" s="23" t="str">
        <x:v>994190788052</x:v>
      </x:c>
      <x:c r="B220" s="22"/>
      <x:c r="C220" s="22"/>
      <x:c r="D220" s="22"/>
      <x:c r="E220" s="9" t="str">
        <x:v>裙长未明确</x:v>
      </x:c>
      <x:c r="F220" s="9" t="str">
        <x:v>裙装</x:v>
      </x:c>
      <x:c r="G220" s="9" t="str">
        <x:v>半身裙</x:v>
      </x:c>
      <x:c r="H220" s="9" t="str">
        <x:v>女</x:v>
      </x:c>
      <x:c r="I220" s="9" t="str">
        <x:v>多瑙河复古25冬新款半身裙粗花呢</x:v>
      </x:c>
      <x:c r="J220" s="9" t="str">
        <x:v>DAILY ROMANCE</x:v>
      </x:c>
      <x:c r="K220" s="24" t="n">
        <x:v>1394.61</x:v>
      </x:c>
      <x:c r="L220" s="25" t="e">
        <x:f>HYPERLINK("https://item.taobao.com/item.htm?id=994190788052","打开商品")</x:f>
        <x:v>HYPERLINK is not implemented. linkLocation=https://item.taobao.com/item.htm?id=994190788052, friendlyName=打开商品</x:v>
      </x:c>
      <x:c r="M220" s="25" t="e">
        <x:f>HYPERLINK("https://data.zhiyitech.cn/itemDetail/overview/base?itemId=994190788052","打开知衣")</x:f>
        <x:v>HYPERLINK is not implemented. linkLocation=https://data.zhiyitech.cn/itemDetail/overview/base?itemId=994190788052, friendlyName=打开知衣</x:v>
      </x:c>
      <x:c r="N220" s="25" t="e">
        <x:f>HYPERLINK("https://img.alicdn.com/bao/uploaded/i1/2676753210/O1CN01bpPgaG1ZaETVwRtRf_!!2676753210.jpg","查看主图")</x:f>
        <x:v>HYPERLINK is not implemented. linkLocation=https://img.alicdn.com/bao/uploaded/i1/2676753210/O1CN01bpPgaG1ZaETVwRtRf_!!2676753210.jpg, friendlyName=查看主图</x:v>
      </x:c>
      <x:c r="O220" s="9" t="str">
        <x:v>标题及既有类目语义复核；多瑙河复古25冬新款半身裙粗花呢；原类目及标题已能确认半身裙；展示使用已知大类，未知裙长下沉到结构字段，不强猜长短。</x:v>
      </x:c>
      <x:c r="P220" s="9" t="str">
        <x:v>普通男女装</x:v>
      </x:c>
      <x:c r="Q220" s="9" t="str">
        <x:v>W_SKIRTS_AVGPAID_1300_1400_ANNUAL2026.xlsx</x:v>
      </x:c>
      <x:c r="R220" s="9" t="str">
        <x:v>默认</x:v>
      </x:c>
      <x:c r="S220" s="9" t="n">
        <x:v>265</x:v>
      </x:c>
      <x:c r="T220" s="9" t="str">
        <x:v>bd4dae1e08e9eca7ddd0669235bf59107cdc418b9c2898fc16f36a7ab5748692</x:v>
      </x:c>
      <x:c r="U220" s="9" t="str">
        <x:v>W_SKIRTS_AVGPAID_1300_1400_ANNUAL2026</x:v>
      </x:c>
      <x:c r="V220" s="9" t="str">
        <x:v>W_SKIRTS_AVGPAID_1300_1400_ANNUAL2026.xlsx / 默认 / 第265行 / SHA256 bd4dae1e08e9eca7ddd0669235bf59107cdc418b9c2898fc16f36a7ab5748692</x:v>
      </x:c>
    </x:row>
    <x:row r="221" ht="58" customHeight="1">
      <x:c r="A221" s="23" t="str">
        <x:v>1078473863623</x:v>
      </x:c>
      <x:c r="B221" s="22"/>
      <x:c r="C221" s="22"/>
      <x:c r="D221" s="22"/>
      <x:c r="E221" s="9" t="str">
        <x:v>裙长未明确</x:v>
      </x:c>
      <x:c r="F221" s="9" t="str">
        <x:v>裙装</x:v>
      </x:c>
      <x:c r="G221" s="9" t="str">
        <x:v>半身裙</x:v>
      </x:c>
      <x:c r="H221" s="9" t="str">
        <x:v>女</x:v>
      </x:c>
      <x:c r="I221" s="9" t="str">
        <x:v>DAJO'S 红标/约克郡皮裙 高质感绵羊皮 前开衩A字半身裙</x:v>
      </x:c>
      <x:c r="J221" s="9" t="str">
        <x:v>DAJO‘S</x:v>
      </x:c>
      <x:c r="K221" s="24" t="n">
        <x:v>1774.23</x:v>
      </x:c>
      <x:c r="L221" s="25" t="e">
        <x:f>HYPERLINK("https://item.taobao.com/item.htm?id=1078473863623","打开商品")</x:f>
        <x:v>HYPERLINK is not implemented. linkLocation=https://item.taobao.com/item.htm?id=1078473863623, friendlyName=打开商品</x:v>
      </x:c>
      <x:c r="M221" s="25" t="e">
        <x:f>HYPERLINK("https://data.zhiyitech.cn/itemDetail/overview/base?itemId=1078473863623","打开知衣")</x:f>
        <x:v>HYPERLINK is not implemented. linkLocation=https://data.zhiyitech.cn/itemDetail/overview/base?itemId=1078473863623, friendlyName=打开知衣</x:v>
      </x:c>
      <x:c r="N221" s="25" t="e">
        <x:f>HYPERLINK("https://img.alicdn.com/bao/uploaded/i2/3165894442/O1CN01OaEv5zzfdqE2R3rs_!!3165894442.jpg","查看主图")</x:f>
        <x:v>HYPERLINK is not implemented. linkLocation=https://img.alicdn.com/bao/uploaded/i2/3165894442/O1CN01OaEv5zzfdqE2R3rs_!!3165894442.jpg, friendlyName=查看主图</x:v>
      </x:c>
      <x:c r="O221" s="9" t="str">
        <x:v>标题及既有类目语义复核；DAJO'S 红标/约克郡皮裙 高质感绵羊皮 前开衩A字半身裙；原类目及标题已能确认半身裙；展示使用已知大类，未知裙长下沉到结构字段，不强猜长短。</x:v>
      </x:c>
      <x:c r="P221" s="9" t="str">
        <x:v>普通男女装</x:v>
      </x:c>
      <x:c r="Q221" s="9" t="str">
        <x:v>W_SKIRTS_AVGPAID_1700_1800_ANNUAL2026.xlsx</x:v>
      </x:c>
      <x:c r="R221" s="9" t="str">
        <x:v>默认</x:v>
      </x:c>
      <x:c r="S221" s="9" t="n">
        <x:v>68</x:v>
      </x:c>
      <x:c r="T221" s="9" t="str">
        <x:v>c25ed77c53c7c5cfcf728778a0e9b297d8689503f62756a939cbd534ca9b587a</x:v>
      </x:c>
      <x:c r="U221" s="9" t="str">
        <x:v>W_SKIRTS_AVGPAID_1700_1800_ANNUAL2026</x:v>
      </x:c>
      <x:c r="V221" s="9" t="str">
        <x:v>W_SKIRTS_AVGPAID_1700_1800_ANNUAL2026.xlsx / 默认 / 第68行 / SHA256 c25ed77c53c7c5cfcf728778a0e9b297d8689503f62756a939cbd534ca9b587a</x:v>
      </x:c>
    </x:row>
    <x:row r="222" ht="58" customHeight="1">
      <x:c r="A222" s="23" t="str">
        <x:v>1027138585071</x:v>
      </x:c>
      <x:c r="B222" s="22"/>
      <x:c r="C222" s="22"/>
      <x:c r="D222" s="22"/>
      <x:c r="E222" s="9" t="str">
        <x:v>裙长未明确</x:v>
      </x:c>
      <x:c r="F222" s="9" t="str">
        <x:v>裙装</x:v>
      </x:c>
      <x:c r="G222" s="9" t="str">
        <x:v>半身裙</x:v>
      </x:c>
      <x:c r="H222" s="9" t="str">
        <x:v>女</x:v>
      </x:c>
      <x:c r="I222" s="9" t="str">
        <x:v>DAZZLE 地素2026年夏季A字版型拼接材质荷叶边半裙</x:v>
      </x:c>
      <x:c r="J222" s="9" t="str">
        <x:v>DAZZLE/地素</x:v>
      </x:c>
      <x:c r="K222" s="24" t="n">
        <x:v>1396.88</x:v>
      </x:c>
      <x:c r="L222" s="25" t="e">
        <x:f>HYPERLINK("https://item.taobao.com/item.htm?id=1027138585071","打开商品")</x:f>
        <x:v>HYPERLINK is not implemented. linkLocation=https://item.taobao.com/item.htm?id=1027138585071, friendlyName=打开商品</x:v>
      </x:c>
      <x:c r="M222" s="25" t="e">
        <x:f>HYPERLINK("https://data.zhiyitech.cn/itemDetail/overview/base?itemId=1027138585071","打开知衣")</x:f>
        <x:v>HYPERLINK is not implemented. linkLocation=https://data.zhiyitech.cn/itemDetail/overview/base?itemId=1027138585071, friendlyName=打开知衣</x:v>
      </x:c>
      <x:c r="N222" s="25" t="e">
        <x:f>HYPERLINK("https://img.alicdn.com/bao/uploaded/i3/819984768/O1CN01VAlBkG9kGZE1chua_!!819984768.jpg","查看主图")</x:f>
        <x:v>HYPERLINK is not implemented. linkLocation=https://img.alicdn.com/bao/uploaded/i3/819984768/O1CN01VAlBkG9kGZE1chua_!!819984768.jpg, friendlyName=查看主图</x:v>
      </x:c>
      <x:c r="O222" s="9" t="str">
        <x:v>标题及既有类目语义复核；DAZZLE 地素2026年夏季A字版型拼接材质荷叶边半裙；原类目及标题已能确认半身裙；展示使用已知大类，未知裙长下沉到结构字段，不强猜长短。</x:v>
      </x:c>
      <x:c r="P222" s="9" t="str">
        <x:v>普通男女装</x:v>
      </x:c>
      <x:c r="Q222" s="9" t="str">
        <x:v>W_SKIRTS_AVGPAID_1300_1400_ANNUAL2026.xlsx</x:v>
      </x:c>
      <x:c r="R222" s="9" t="str">
        <x:v>默认</x:v>
      </x:c>
      <x:c r="S222" s="9" t="n">
        <x:v>104</x:v>
      </x:c>
      <x:c r="T222" s="9" t="str">
        <x:v>bd4dae1e08e9eca7ddd0669235bf59107cdc418b9c2898fc16f36a7ab5748692</x:v>
      </x:c>
      <x:c r="U222" s="9" t="str">
        <x:v>W_SKIRTS_AVGPAID_1300_1400_ANNUAL2026</x:v>
      </x:c>
      <x:c r="V222" s="9" t="str">
        <x:v>W_SKIRTS_AVGPAID_1300_1400_ANNUAL2026.xlsx / 默认 / 第104行 / SHA256 bd4dae1e08e9eca7ddd0669235bf59107cdc418b9c2898fc16f36a7ab5748692</x:v>
      </x:c>
    </x:row>
    <x:row r="223" ht="58" customHeight="1">
      <x:c r="A223" s="23" t="str">
        <x:v>1032564919659</x:v>
      </x:c>
      <x:c r="B223" s="22"/>
      <x:c r="C223" s="22"/>
      <x:c r="D223" s="22"/>
      <x:c r="E223" s="9" t="str">
        <x:v>裙长未明确</x:v>
      </x:c>
      <x:c r="F223" s="9" t="str">
        <x:v>裙装</x:v>
      </x:c>
      <x:c r="G223" s="9" t="str">
        <x:v>半身裙</x:v>
      </x:c>
      <x:c r="H223" s="9" t="str">
        <x:v>女</x:v>
      </x:c>
      <x:c r="I223" s="9" t="str">
        <x:v>【七七酱直播间】DAZZLE 地素半裙春季新款浅卡其色新中式</x:v>
      </x:c>
      <x:c r="J223" s="9" t="str">
        <x:v>DAZZLE/地素</x:v>
      </x:c>
      <x:c r="K223" s="24" t="n">
        <x:v>1599</x:v>
      </x:c>
      <x:c r="L223" s="25" t="e">
        <x:f>HYPERLINK("https://item.taobao.com/item.htm?id=1032564919659","打开商品")</x:f>
        <x:v>HYPERLINK is not implemented. linkLocation=https://item.taobao.com/item.htm?id=1032564919659, friendlyName=打开商品</x:v>
      </x:c>
      <x:c r="M223" s="25" t="e">
        <x:f>HYPERLINK("https://data.zhiyitech.cn/itemDetail/overview/base?itemId=1032564919659","打开知衣")</x:f>
        <x:v>HYPERLINK is not implemented. linkLocation=https://data.zhiyitech.cn/itemDetail/overview/base?itemId=1032564919659, friendlyName=打开知衣</x:v>
      </x:c>
      <x:c r="N223" s="25" t="e">
        <x:f>HYPERLINK("https://img.alicdn.com/bao/uploaded/i1/2201234591864/O1CN01tqXfVp1PdlOcCf9bi_!!4611686018427383928-0-item_pic.jpg","查看主图")</x:f>
        <x:v>HYPERLINK is not implemented. linkLocation=https://img.alicdn.com/bao/uploaded/i1/2201234591864/O1CN01tqXfVp1PdlOcCf9bi_!!4611686018427383928-0-item_pic.jpg, friendlyName=查看主图</x:v>
      </x:c>
      <x:c r="O223" s="9" t="str">
        <x:v>标题及既有类目语义复核；【七七酱直播间】DAZZLE 地素半裙春季新款浅卡其色新中式；原类目及标题已能确认半身裙；展示使用已知大类，未知裙长下沉到结构字段，不强猜长短。</x:v>
      </x:c>
      <x:c r="P223" s="9" t="str">
        <x:v>普通男女装</x:v>
      </x:c>
      <x:c r="Q223" s="9" t="str">
        <x:v>W_SKIRTS_AVGPAID_1500_1600_ANNUAL2026.xlsx</x:v>
      </x:c>
      <x:c r="R223" s="9" t="str">
        <x:v>默认</x:v>
      </x:c>
      <x:c r="S223" s="9" t="n">
        <x:v>98</x:v>
      </x:c>
      <x:c r="T223" s="9" t="str">
        <x:v>deede8b56943df4f914be45dba170f12e69064023d6ef0e88dbde1764f6ba23e</x:v>
      </x:c>
      <x:c r="U223" s="9" t="str">
        <x:v>W_SKIRTS_AVGPAID_1500_1600_ANNUAL2026</x:v>
      </x:c>
      <x:c r="V223" s="9" t="str">
        <x:v>W_SKIRTS_AVGPAID_1500_1600_ANNUAL2026.xlsx / 默认 / 第98行 / SHA256 deede8b56943df4f914be45dba170f12e69064023d6ef0e88dbde1764f6ba23e</x:v>
      </x:c>
    </x:row>
    <x:row r="224" ht="58" customHeight="1">
      <x:c r="A224" s="23" t="str">
        <x:v>1032567515548</x:v>
      </x:c>
      <x:c r="B224" s="22"/>
      <x:c r="C224" s="22"/>
      <x:c r="D224" s="22"/>
      <x:c r="E224" s="9" t="str">
        <x:v>裙长未明确</x:v>
      </x:c>
      <x:c r="F224" s="9" t="str">
        <x:v>裙装</x:v>
      </x:c>
      <x:c r="G224" s="9" t="str">
        <x:v>半身裙</x:v>
      </x:c>
      <x:c r="H224" s="9" t="str">
        <x:v>女</x:v>
      </x:c>
      <x:c r="I224" s="9" t="str">
        <x:v>【七七酱直播间】DAZZLE地素冬季印花半裙</x:v>
      </x:c>
      <x:c r="J224" s="9" t="str">
        <x:v>DAZZLE/地素</x:v>
      </x:c>
      <x:c r="K224" s="24" t="n">
        <x:v>1599</x:v>
      </x:c>
      <x:c r="L224" s="25" t="e">
        <x:f>HYPERLINK("https://item.taobao.com/item.htm?id=1032567515548","打开商品")</x:f>
        <x:v>HYPERLINK is not implemented. linkLocation=https://item.taobao.com/item.htm?id=1032567515548, friendlyName=打开商品</x:v>
      </x:c>
      <x:c r="M224" s="25" t="e">
        <x:f>HYPERLINK("https://data.zhiyitech.cn/itemDetail/overview/base?itemId=1032567515548","打开知衣")</x:f>
        <x:v>HYPERLINK is not implemented. linkLocation=https://data.zhiyitech.cn/itemDetail/overview/base?itemId=1032567515548, friendlyName=打开知衣</x:v>
      </x:c>
      <x:c r="N224" s="25" t="e">
        <x:f>HYPERLINK("https://img.alicdn.com/bao/uploaded/i1/2201234591864/O1CN0170cdUq1PdlOdCRlHB_!!4611686018427383928-0-item_pic.jpg","查看主图")</x:f>
        <x:v>HYPERLINK is not implemented. linkLocation=https://img.alicdn.com/bao/uploaded/i1/2201234591864/O1CN0170cdUq1PdlOdCRlHB_!!4611686018427383928-0-item_pic.jpg, friendlyName=查看主图</x:v>
      </x:c>
      <x:c r="O224" s="9" t="str">
        <x:v>标题及既有类目语义复核；【七七酱直播间】DAZZLE地素冬季印花半裙；原类目及标题已能确认半身裙；展示使用已知大类，未知裙长下沉到结构字段，不强猜长短。</x:v>
      </x:c>
      <x:c r="P224" s="9" t="str">
        <x:v>普通男女装</x:v>
      </x:c>
      <x:c r="Q224" s="9" t="str">
        <x:v>W_SKIRTS_AVGPAID_1500_1600_ANNUAL2026.xlsx</x:v>
      </x:c>
      <x:c r="R224" s="9" t="str">
        <x:v>默认</x:v>
      </x:c>
      <x:c r="S224" s="9" t="n">
        <x:v>384</x:v>
      </x:c>
      <x:c r="T224" s="9" t="str">
        <x:v>deede8b56943df4f914be45dba170f12e69064023d6ef0e88dbde1764f6ba23e</x:v>
      </x:c>
      <x:c r="U224" s="9" t="str">
        <x:v>W_SKIRTS_AVGPAID_1500_1600_ANNUAL2026</x:v>
      </x:c>
      <x:c r="V224" s="9" t="str">
        <x:v>W_SKIRTS_AVGPAID_1500_1600_ANNUAL2026.xlsx / 默认 / 第384行 / SHA256 deede8b56943df4f914be45dba170f12e69064023d6ef0e88dbde1764f6ba23e</x:v>
      </x:c>
    </x:row>
    <x:row r="225" ht="58" customHeight="1">
      <x:c r="A225" s="23" t="str">
        <x:v>1034180909614</x:v>
      </x:c>
      <x:c r="B225" s="22"/>
      <x:c r="C225" s="22"/>
      <x:c r="D225" s="22"/>
      <x:c r="E225" s="9" t="str">
        <x:v>裙长未明确</x:v>
      </x:c>
      <x:c r="F225" s="9" t="str">
        <x:v>裙装</x:v>
      </x:c>
      <x:c r="G225" s="9" t="str">
        <x:v>半身裙</x:v>
      </x:c>
      <x:c r="H225" s="9" t="str">
        <x:v>女</x:v>
      </x:c>
      <x:c r="I225" s="9" t="str">
        <x:v>【七七酱直播间】【刘雯同款】DAZZLE地素 半身裙夏女装</x:v>
      </x:c>
      <x:c r="J225" s="9" t="str">
        <x:v>DAZZLE/地素</x:v>
      </x:c>
      <x:c r="K225" s="24" t="n">
        <x:v>1399</x:v>
      </x:c>
      <x:c r="L225" s="25" t="e">
        <x:f>HYPERLINK("https://item.taobao.com/item.htm?id=1034180909614","打开商品")</x:f>
        <x:v>HYPERLINK is not implemented. linkLocation=https://item.taobao.com/item.htm?id=1034180909614, friendlyName=打开商品</x:v>
      </x:c>
      <x:c r="M225" s="25" t="e">
        <x:f>HYPERLINK("https://data.zhiyitech.cn/itemDetail/overview/base?itemId=1034180909614","打开知衣")</x:f>
        <x:v>HYPERLINK is not implemented. linkLocation=https://data.zhiyitech.cn/itemDetail/overview/base?itemId=1034180909614, friendlyName=打开知衣</x:v>
      </x:c>
      <x:c r="N225" s="25" t="e">
        <x:f>HYPERLINK("https://img.alicdn.com/bao/uploaded/i1/2201234591864/O1CN01cyB0s91PdlOd7zVC8_!!4611686018427383928-0-item_pic.jpg","查看主图")</x:f>
        <x:v>HYPERLINK is not implemented. linkLocation=https://img.alicdn.com/bao/uploaded/i1/2201234591864/O1CN01cyB0s91PdlOd7zVC8_!!4611686018427383928-0-item_pic.jpg, friendlyName=查看主图</x:v>
      </x:c>
      <x:c r="O225" s="9" t="str">
        <x:v>标题及既有类目语义复核；【七七酱直播间】【刘雯同款】DAZZLE地素 半身裙夏女装；原类目及标题已能确认半身裙；展示使用已知大类，未知裙长下沉到结构字段，不强猜长短。</x:v>
      </x:c>
      <x:c r="P225" s="9" t="str">
        <x:v>普通男女装</x:v>
      </x:c>
      <x:c r="Q225" s="9" t="str">
        <x:v>W_SKIRTS_AVGPAID_1300_1400_ANNUAL2026.xlsx</x:v>
      </x:c>
      <x:c r="R225" s="9" t="str">
        <x:v>默认</x:v>
      </x:c>
      <x:c r="S225" s="9" t="n">
        <x:v>130</x:v>
      </x:c>
      <x:c r="T225" s="9" t="str">
        <x:v>bd4dae1e08e9eca7ddd0669235bf59107cdc418b9c2898fc16f36a7ab5748692</x:v>
      </x:c>
      <x:c r="U225" s="9" t="str">
        <x:v>W_SKIRTS_AVGPAID_1300_1400_ANNUAL2026</x:v>
      </x:c>
      <x:c r="V225" s="9" t="str">
        <x:v>W_SKIRTS_AVGPAID_1300_1400_ANNUAL2026.xlsx / 默认 / 第130行 / SHA256 bd4dae1e08e9eca7ddd0669235bf59107cdc418b9c2898fc16f36a7ab5748692</x:v>
      </x:c>
    </x:row>
    <x:row r="226" ht="58" customHeight="1">
      <x:c r="A226" s="23" t="str">
        <x:v>1037750111781</x:v>
      </x:c>
      <x:c r="B226" s="22"/>
      <x:c r="C226" s="22"/>
      <x:c r="D226" s="22"/>
      <x:c r="E226" s="9" t="str">
        <x:v>裙长未明确</x:v>
      </x:c>
      <x:c r="F226" s="9" t="str">
        <x:v>裙装</x:v>
      </x:c>
      <x:c r="G226" s="9" t="str">
        <x:v>半身裙</x:v>
      </x:c>
      <x:c r="H226" s="9" t="str">
        <x:v>女</x:v>
      </x:c>
      <x:c r="I226" s="9" t="str">
        <x:v>【刘雯同款】DAZZLE 地素2026年夏季A字飘逸斜浪型蕾丝木耳边半裙</x:v>
      </x:c>
      <x:c r="J226" s="9" t="str">
        <x:v>DAZZLE/地素</x:v>
      </x:c>
      <x:c r="K226" s="24" t="n">
        <x:v>1327</x:v>
      </x:c>
      <x:c r="L226" s="25" t="e">
        <x:f>HYPERLINK("https://item.taobao.com/item.htm?id=1037750111781","打开商品")</x:f>
        <x:v>HYPERLINK is not implemented. linkLocation=https://item.taobao.com/item.htm?id=1037750111781, friendlyName=打开商品</x:v>
      </x:c>
      <x:c r="M226" s="25" t="e">
        <x:f>HYPERLINK("https://data.zhiyitech.cn/itemDetail/overview/base?itemId=1037750111781","打开知衣")</x:f>
        <x:v>HYPERLINK is not implemented. linkLocation=https://data.zhiyitech.cn/itemDetail/overview/base?itemId=1037750111781, friendlyName=打开知衣</x:v>
      </x:c>
      <x:c r="N226" s="25" t="e">
        <x:f>HYPERLINK("https://img.alicdn.com/bao/uploaded/i1/819984768/O1CN01aORcE5D3sKJ1chua_!!819984768.jpg","查看主图")</x:f>
        <x:v>HYPERLINK is not implemented. linkLocation=https://img.alicdn.com/bao/uploaded/i1/819984768/O1CN01aORcE5D3sKJ1chua_!!819984768.jpg, friendlyName=查看主图</x:v>
      </x:c>
      <x:c r="O226" s="9" t="str">
        <x:v>标题及既有类目语义复核；【刘雯同款】DAZZLE 地素2026年夏季A字飘逸斜浪型蕾丝木耳边半裙；原类目及标题已能确认半身裙；展示使用已知大类，未知裙长下沉到结构字段，不强猜长短。</x:v>
      </x:c>
      <x:c r="P226" s="9" t="str">
        <x:v>普通男女装</x:v>
      </x:c>
      <x:c r="Q226" s="9" t="str">
        <x:v>W_SKIRTS_AVGPAID_1300_1400_ANNUAL2026.xlsx</x:v>
      </x:c>
      <x:c r="R226" s="9" t="str">
        <x:v>默认</x:v>
      </x:c>
      <x:c r="S226" s="9" t="n">
        <x:v>3</x:v>
      </x:c>
      <x:c r="T226" s="9" t="str">
        <x:v>bd4dae1e08e9eca7ddd0669235bf59107cdc418b9c2898fc16f36a7ab5748692</x:v>
      </x:c>
      <x:c r="U226" s="9" t="str">
        <x:v>W_SKIRTS_AVGPAID_1300_1400_ANNUAL2026</x:v>
      </x:c>
      <x:c r="V226" s="9" t="str">
        <x:v>W_SKIRTS_AVGPAID_1300_1400_ANNUAL2026.xlsx / 默认 / 第3行 / SHA256 bd4dae1e08e9eca7ddd0669235bf59107cdc418b9c2898fc16f36a7ab5748692</x:v>
      </x:c>
    </x:row>
    <x:row r="227" ht="58" customHeight="1">
      <x:c r="A227" s="23" t="str">
        <x:v>1039413385585</x:v>
      </x:c>
      <x:c r="B227" s="22"/>
      <x:c r="C227" s="22"/>
      <x:c r="D227" s="22"/>
      <x:c r="E227" s="9" t="str">
        <x:v>裙长未明确</x:v>
      </x:c>
      <x:c r="F227" s="9" t="str">
        <x:v>裙装</x:v>
      </x:c>
      <x:c r="G227" s="9" t="str">
        <x:v>半身裙</x:v>
      </x:c>
      <x:c r="H227" s="9" t="str">
        <x:v>女</x:v>
      </x:c>
      <x:c r="I227" s="9" t="str">
        <x:v>DAZZLE 地素2026年夏季A字轻薄木耳边下摆碎花半裙</x:v>
      </x:c>
      <x:c r="J227" s="9" t="str">
        <x:v>DAZZLE/地素</x:v>
      </x:c>
      <x:c r="K227" s="24" t="n">
        <x:v>1720.82</x:v>
      </x:c>
      <x:c r="L227" s="25" t="e">
        <x:f>HYPERLINK("https://item.taobao.com/item.htm?id=1039413385585","打开商品")</x:f>
        <x:v>HYPERLINK is not implemented. linkLocation=https://item.taobao.com/item.htm?id=1039413385585, friendlyName=打开商品</x:v>
      </x:c>
      <x:c r="M227" s="25" t="e">
        <x:f>HYPERLINK("https://data.zhiyitech.cn/itemDetail/overview/base?itemId=1039413385585","打开知衣")</x:f>
        <x:v>HYPERLINK is not implemented. linkLocation=https://data.zhiyitech.cn/itemDetail/overview/base?itemId=1039413385585, friendlyName=打开知衣</x:v>
      </x:c>
      <x:c r="N227" s="25" t="e">
        <x:f>HYPERLINK("https://img.alicdn.com/bao/uploaded/i2/819984768/O1CN01JswiniRZMmB1chua_!!819984768.jpg","查看主图")</x:f>
        <x:v>HYPERLINK is not implemented. linkLocation=https://img.alicdn.com/bao/uploaded/i2/819984768/O1CN01JswiniRZMmB1chua_!!819984768.jpg, friendlyName=查看主图</x:v>
      </x:c>
      <x:c r="O227" s="9" t="str">
        <x:v>标题及既有类目语义复核；DAZZLE 地素2026年夏季A字轻薄木耳边下摆碎花半裙；原类目及标题已能确认半身裙；展示使用已知大类，未知裙长下沉到结构字段，不强猜长短。</x:v>
      </x:c>
      <x:c r="P227" s="9" t="str">
        <x:v>普通男女装</x:v>
      </x:c>
      <x:c r="Q227" s="9" t="str">
        <x:v>W_SKIRTS_AVGPAID_1700_1800_ANNUAL2026.xlsx</x:v>
      </x:c>
      <x:c r="R227" s="9" t="str">
        <x:v>默认</x:v>
      </x:c>
      <x:c r="S227" s="9" t="n">
        <x:v>7</x:v>
      </x:c>
      <x:c r="T227" s="9" t="str">
        <x:v>c25ed77c53c7c5cfcf728778a0e9b297d8689503f62756a939cbd534ca9b587a</x:v>
      </x:c>
      <x:c r="U227" s="9" t="str">
        <x:v>W_SKIRTS_AVGPAID_1700_1800_ANNUAL2026</x:v>
      </x:c>
      <x:c r="V227" s="9" t="str">
        <x:v>W_SKIRTS_AVGPAID_1700_1800_ANNUAL2026.xlsx / 默认 / 第7行 / SHA256 c25ed77c53c7c5cfcf728778a0e9b297d8689503f62756a939cbd534ca9b587a</x:v>
      </x:c>
    </x:row>
    <x:row r="228" ht="58" customHeight="1">
      <x:c r="A228" s="23" t="str">
        <x:v>1039502792738</x:v>
      </x:c>
      <x:c r="B228" s="22"/>
      <x:c r="C228" s="22"/>
      <x:c r="D228" s="22"/>
      <x:c r="E228" s="9" t="str">
        <x:v>裙长未明确</x:v>
      </x:c>
      <x:c r="F228" s="9" t="str">
        <x:v>裙装</x:v>
      </x:c>
      <x:c r="G228" s="9" t="str">
        <x:v>半身裙</x:v>
      </x:c>
      <x:c r="H228" s="9" t="str">
        <x:v>女</x:v>
      </x:c>
      <x:c r="I228" s="9" t="str">
        <x:v>DAZZLE 地素2026年夏季包臀鱼尾侧开衩蕾丝边半裙</x:v>
      </x:c>
      <x:c r="J228" s="9" t="str">
        <x:v>DAZZLE/地素</x:v>
      </x:c>
      <x:c r="K228" s="24" t="n">
        <x:v>1330.86</x:v>
      </x:c>
      <x:c r="L228" s="25" t="e">
        <x:f>HYPERLINK("https://item.taobao.com/item.htm?id=1039502792738","打开商品")</x:f>
        <x:v>HYPERLINK is not implemented. linkLocation=https://item.taobao.com/item.htm?id=1039502792738, friendlyName=打开商品</x:v>
      </x:c>
      <x:c r="M228" s="25" t="e">
        <x:f>HYPERLINK("https://data.zhiyitech.cn/itemDetail/overview/base?itemId=1039502792738","打开知衣")</x:f>
        <x:v>HYPERLINK is not implemented. linkLocation=https://data.zhiyitech.cn/itemDetail/overview/base?itemId=1039502792738, friendlyName=打开知衣</x:v>
      </x:c>
      <x:c r="N228" s="25" t="e">
        <x:f>HYPERLINK("https://img.alicdn.com/bao/uploaded/i4/819984768/O1CN01NfmVlNqCbtB1chua_!!819984768.jpg","查看主图")</x:f>
        <x:v>HYPERLINK is not implemented. linkLocation=https://img.alicdn.com/bao/uploaded/i4/819984768/O1CN01NfmVlNqCbtB1chua_!!819984768.jpg, friendlyName=查看主图</x:v>
      </x:c>
      <x:c r="O228" s="9" t="str">
        <x:v>标题及既有类目语义复核；DAZZLE 地素2026年夏季包臀鱼尾侧开衩蕾丝边半裙；原类目及标题已能确认半身裙；展示使用已知大类，未知裙长下沉到结构字段，不强猜长短。</x:v>
      </x:c>
      <x:c r="P228" s="9" t="str">
        <x:v>普通男女装</x:v>
      </x:c>
      <x:c r="Q228" s="9" t="str">
        <x:v>W_SKIRTS_AVGPAID_1300_1400_ANNUAL2026.xlsx</x:v>
      </x:c>
      <x:c r="R228" s="9" t="str">
        <x:v>默认</x:v>
      </x:c>
      <x:c r="S228" s="9" t="n">
        <x:v>25</x:v>
      </x:c>
      <x:c r="T228" s="9" t="str">
        <x:v>bd4dae1e08e9eca7ddd0669235bf59107cdc418b9c2898fc16f36a7ab5748692</x:v>
      </x:c>
      <x:c r="U228" s="9" t="str">
        <x:v>W_SKIRTS_AVGPAID_1300_1400_ANNUAL2026</x:v>
      </x:c>
      <x:c r="V228" s="9" t="str">
        <x:v>W_SKIRTS_AVGPAID_1300_1400_ANNUAL2026.xlsx / 默认 / 第25行 / SHA256 bd4dae1e08e9eca7ddd0669235bf59107cdc418b9c2898fc16f36a7ab5748692</x:v>
      </x:c>
    </x:row>
    <x:row r="229" ht="58" customHeight="1">
      <x:c r="A229" s="23" t="str">
        <x:v>1045194783622</x:v>
      </x:c>
      <x:c r="B229" s="22"/>
      <x:c r="C229" s="22"/>
      <x:c r="D229" s="22"/>
      <x:c r="E229" s="9" t="str">
        <x:v>裙长未明确</x:v>
      </x:c>
      <x:c r="F229" s="9" t="str">
        <x:v>裙装</x:v>
      </x:c>
      <x:c r="G229" s="9" t="str">
        <x:v>半身裙</x:v>
      </x:c>
      <x:c r="H229" s="9" t="str">
        <x:v>女</x:v>
      </x:c>
      <x:c r="I229" s="9" t="str">
        <x:v>DAZZLE 地素2026年夏季天然苎麻前后两面穿法半裙</x:v>
      </x:c>
      <x:c r="J229" s="9" t="str">
        <x:v>DAZZLE/地素</x:v>
      </x:c>
      <x:c r="K229" s="24" t="n">
        <x:v>1324.83</x:v>
      </x:c>
      <x:c r="L229" s="25" t="e">
        <x:f>HYPERLINK("https://item.taobao.com/item.htm?id=1045194783622","打开商品")</x:f>
        <x:v>HYPERLINK is not implemented. linkLocation=https://item.taobao.com/item.htm?id=1045194783622, friendlyName=打开商品</x:v>
      </x:c>
      <x:c r="M229" s="25" t="e">
        <x:f>HYPERLINK("https://data.zhiyitech.cn/itemDetail/overview/base?itemId=1045194783622","打开知衣")</x:f>
        <x:v>HYPERLINK is not implemented. linkLocation=https://data.zhiyitech.cn/itemDetail/overview/base?itemId=1045194783622, friendlyName=打开知衣</x:v>
      </x:c>
      <x:c r="N229" s="25" t="e">
        <x:f>HYPERLINK("https://img.alicdn.com/bao/uploaded/i4/819984768/O1CN01BlIh7esCAAI1chua_!!819984768.jpg","查看主图")</x:f>
        <x:v>HYPERLINK is not implemented. linkLocation=https://img.alicdn.com/bao/uploaded/i4/819984768/O1CN01BlIh7esCAAI1chua_!!819984768.jpg, friendlyName=查看主图</x:v>
      </x:c>
      <x:c r="O229" s="9" t="str">
        <x:v>标题及既有类目语义复核；DAZZLE 地素2026年夏季天然苎麻前后两面穿法半裙；原类目及标题已能确认半身裙；展示使用已知大类，未知裙长下沉到结构字段，不强猜长短。</x:v>
      </x:c>
      <x:c r="P229" s="9" t="str">
        <x:v>普通男女装</x:v>
      </x:c>
      <x:c r="Q229" s="9" t="str">
        <x:v>W_SKIRTS_AVGPAID_1300_1400_ANNUAL2026.xlsx</x:v>
      </x:c>
      <x:c r="R229" s="9" t="str">
        <x:v>默认</x:v>
      </x:c>
      <x:c r="S229" s="9" t="n">
        <x:v>4</x:v>
      </x:c>
      <x:c r="T229" s="9" t="str">
        <x:v>bd4dae1e08e9eca7ddd0669235bf59107cdc418b9c2898fc16f36a7ab5748692</x:v>
      </x:c>
      <x:c r="U229" s="9" t="str">
        <x:v>W_SKIRTS_AVGPAID_1300_1400_ANNUAL2026</x:v>
      </x:c>
      <x:c r="V229" s="9" t="str">
        <x:v>W_SKIRTS_AVGPAID_1300_1400_ANNUAL2026.xlsx / 默认 / 第4行 / SHA256 bd4dae1e08e9eca7ddd0669235bf59107cdc418b9c2898fc16f36a7ab5748692</x:v>
      </x:c>
    </x:row>
    <x:row r="230" ht="58" customHeight="1">
      <x:c r="A230" s="23" t="str">
        <x:v>1060845267198</x:v>
      </x:c>
      <x:c r="B230" s="22"/>
      <x:c r="C230" s="22"/>
      <x:c r="D230" s="22"/>
      <x:c r="E230" s="9" t="str">
        <x:v>裙长未明确</x:v>
      </x:c>
      <x:c r="F230" s="9" t="str">
        <x:v>裙装</x:v>
      </x:c>
      <x:c r="G230" s="9" t="str">
        <x:v>半身裙</x:v>
      </x:c>
      <x:c r="H230" s="9" t="str">
        <x:v>女</x:v>
      </x:c>
      <x:c r="I230" s="9" t="str">
        <x:v>DAZZLE 地素2026秋季垂顺A字灯笼裙版型双层压褶半裙</x:v>
      </x:c>
      <x:c r="J230" s="9" t="str">
        <x:v>DAZZLE/地素</x:v>
      </x:c>
      <x:c r="K230" s="24" t="n">
        <x:v>1785.01</x:v>
      </x:c>
      <x:c r="L230" s="25" t="e">
        <x:f>HYPERLINK("https://item.taobao.com/item.htm?id=1060845267198","打开商品")</x:f>
        <x:v>HYPERLINK is not implemented. linkLocation=https://item.taobao.com/item.htm?id=1060845267198, friendlyName=打开商品</x:v>
      </x:c>
      <x:c r="M230" s="25" t="e">
        <x:f>HYPERLINK("https://data.zhiyitech.cn/itemDetail/overview/base?itemId=1060845267198","打开知衣")</x:f>
        <x:v>HYPERLINK is not implemented. linkLocation=https://data.zhiyitech.cn/itemDetail/overview/base?itemId=1060845267198, friendlyName=打开知衣</x:v>
      </x:c>
      <x:c r="N230" s="25" t="e">
        <x:f>HYPERLINK("https://img.alicdn.com/bao/uploaded/i3/819984768/O1CN019U2sb5NmSRK1chua_!!819984768.jpg","查看主图")</x:f>
        <x:v>HYPERLINK is not implemented. linkLocation=https://img.alicdn.com/bao/uploaded/i3/819984768/O1CN019U2sb5NmSRK1chua_!!819984768.jpg, friendlyName=查看主图</x:v>
      </x:c>
      <x:c r="O230" s="9" t="str">
        <x:v>标题及既有类目语义复核；DAZZLE 地素2026秋季垂顺A字灯笼裙版型双层压褶半裙；原类目及标题已能确认半身裙；展示使用已知大类，未知裙长下沉到结构字段，不强猜长短。</x:v>
      </x:c>
      <x:c r="P230" s="9" t="str">
        <x:v>普通男女装</x:v>
      </x:c>
      <x:c r="Q230" s="9" t="str">
        <x:v>W_SKIRTS_AVGPAID_1700_1800_ANNUAL2026.xlsx</x:v>
      </x:c>
      <x:c r="R230" s="9" t="str">
        <x:v>默认</x:v>
      </x:c>
      <x:c r="S230" s="9" t="n">
        <x:v>4</x:v>
      </x:c>
      <x:c r="T230" s="9" t="str">
        <x:v>c25ed77c53c7c5cfcf728778a0e9b297d8689503f62756a939cbd534ca9b587a</x:v>
      </x:c>
      <x:c r="U230" s="9" t="str">
        <x:v>W_SKIRTS_AVGPAID_1700_1800_ANNUAL2026</x:v>
      </x:c>
      <x:c r="V230" s="9" t="str">
        <x:v>W_SKIRTS_AVGPAID_1700_1800_ANNUAL2026.xlsx / 默认 / 第4行 / SHA256 c25ed77c53c7c5cfcf728778a0e9b297d8689503f62756a939cbd534ca9b587a</x:v>
      </x:c>
    </x:row>
    <x:row r="231" ht="58" customHeight="1">
      <x:c r="A231" s="23" t="str">
        <x:v>1061592782366</x:v>
      </x:c>
      <x:c r="B231" s="22"/>
      <x:c r="C231" s="22"/>
      <x:c r="D231" s="22"/>
      <x:c r="E231" s="9" t="str">
        <x:v>裙长未明确</x:v>
      </x:c>
      <x:c r="F231" s="9" t="str">
        <x:v>裙装</x:v>
      </x:c>
      <x:c r="G231" s="9" t="str">
        <x:v>半身裙</x:v>
      </x:c>
      <x:c r="H231" s="9" t="str">
        <x:v>女</x:v>
      </x:c>
      <x:c r="I231" s="9" t="str">
        <x:v>DAZZLE 地素2026秋季A字版型百搭纯色荷叶边褶皱半裙</x:v>
      </x:c>
      <x:c r="J231" s="9" t="str">
        <x:v>DAZZLE/地素</x:v>
      </x:c>
      <x:c r="K231" s="24" t="n">
        <x:v>1553.02</x:v>
      </x:c>
      <x:c r="L231" s="25" t="e">
        <x:f>HYPERLINK("https://item.taobao.com/item.htm?id=1061592782366","打开商品")</x:f>
        <x:v>HYPERLINK is not implemented. linkLocation=https://item.taobao.com/item.htm?id=1061592782366, friendlyName=打开商品</x:v>
      </x:c>
      <x:c r="M231" s="25" t="e">
        <x:f>HYPERLINK("https://data.zhiyitech.cn/itemDetail/overview/base?itemId=1061592782366","打开知衣")</x:f>
        <x:v>HYPERLINK is not implemented. linkLocation=https://data.zhiyitech.cn/itemDetail/overview/base?itemId=1061592782366, friendlyName=打开知衣</x:v>
      </x:c>
      <x:c r="N231" s="25" t="e">
        <x:f>HYPERLINK("https://img.alicdn.com/bao/uploaded/i3/819984768/O1CN01s18lE5mzQ7I1chua_!!819984768.jpg","查看主图")</x:f>
        <x:v>HYPERLINK is not implemented. linkLocation=https://img.alicdn.com/bao/uploaded/i3/819984768/O1CN01s18lE5mzQ7I1chua_!!819984768.jpg, friendlyName=查看主图</x:v>
      </x:c>
      <x:c r="O231" s="9" t="str">
        <x:v>标题及既有类目语义复核；DAZZLE 地素2026秋季A字版型百搭纯色荷叶边褶皱半裙；原类目及标题已能确认半身裙；展示使用已知大类，未知裙长下沉到结构字段，不强猜长短。</x:v>
      </x:c>
      <x:c r="P231" s="9" t="str">
        <x:v>普通男女装</x:v>
      </x:c>
      <x:c r="Q231" s="9" t="str">
        <x:v>W_SKIRTS_AVGPAID_1500_1600_ANNUAL2026.xlsx</x:v>
      </x:c>
      <x:c r="R231" s="9" t="str">
        <x:v>默认</x:v>
      </x:c>
      <x:c r="S231" s="9" t="n">
        <x:v>106</x:v>
      </x:c>
      <x:c r="T231" s="9" t="str">
        <x:v>deede8b56943df4f914be45dba170f12e69064023d6ef0e88dbde1764f6ba23e</x:v>
      </x:c>
      <x:c r="U231" s="9" t="str">
        <x:v>W_SKIRTS_AVGPAID_1500_1600_ANNUAL2026</x:v>
      </x:c>
      <x:c r="V231" s="9" t="str">
        <x:v>W_SKIRTS_AVGPAID_1500_1600_ANNUAL2026.xlsx / 默认 / 第106行 / SHA256 deede8b56943df4f914be45dba170f12e69064023d6ef0e88dbde1764f6ba23e</x:v>
      </x:c>
    </x:row>
    <x:row r="232" ht="58" customHeight="1">
      <x:c r="A232" s="23" t="str">
        <x:v>1063534188208</x:v>
      </x:c>
      <x:c r="B232" s="22"/>
      <x:c r="C232" s="22"/>
      <x:c r="D232" s="22"/>
      <x:c r="E232" s="9" t="str">
        <x:v>裙长未明确</x:v>
      </x:c>
      <x:c r="F232" s="9" t="str">
        <x:v>裙装</x:v>
      </x:c>
      <x:c r="G232" s="9" t="str">
        <x:v>半身裙</x:v>
      </x:c>
      <x:c r="H232" s="9" t="str">
        <x:v>女</x:v>
      </x:c>
      <x:c r="I232" s="9" t="str">
        <x:v>DAZZLE 地素2026秋季A字不对称下摆花布荷叶边半裙</x:v>
      </x:c>
      <x:c r="J232" s="9" t="str">
        <x:v>DAZZLE/地素</x:v>
      </x:c>
      <x:c r="K232" s="24" t="n">
        <x:v>1523.6</x:v>
      </x:c>
      <x:c r="L232" s="25" t="e">
        <x:f>HYPERLINK("https://item.taobao.com/item.htm?id=1063534188208","打开商品")</x:f>
        <x:v>HYPERLINK is not implemented. linkLocation=https://item.taobao.com/item.htm?id=1063534188208, friendlyName=打开商品</x:v>
      </x:c>
      <x:c r="M232" s="25" t="e">
        <x:f>HYPERLINK("https://data.zhiyitech.cn/itemDetail/overview/base?itemId=1063534188208","打开知衣")</x:f>
        <x:v>HYPERLINK is not implemented. linkLocation=https://data.zhiyitech.cn/itemDetail/overview/base?itemId=1063534188208, friendlyName=打开知衣</x:v>
      </x:c>
      <x:c r="N232" s="25" t="e">
        <x:f>HYPERLINK("https://img.alicdn.com/bao/uploaded/i2/819984768/O1CN016UCyBpWeUeI1chua_!!819984768.jpg","查看主图")</x:f>
        <x:v>HYPERLINK is not implemented. linkLocation=https://img.alicdn.com/bao/uploaded/i2/819984768/O1CN016UCyBpWeUeI1chua_!!819984768.jpg, friendlyName=查看主图</x:v>
      </x:c>
      <x:c r="O232" s="9" t="str">
        <x:v>标题及既有类目语义复核；DAZZLE 地素2026秋季A字不对称下摆花布荷叶边半裙；原类目及标题已能确认半身裙；展示使用已知大类，未知裙长下沉到结构字段，不强猜长短。</x:v>
      </x:c>
      <x:c r="P232" s="9" t="str">
        <x:v>普通男女装</x:v>
      </x:c>
      <x:c r="Q232" s="9" t="str">
        <x:v>W_SKIRTS_AVGPAID_1500_1600_ANNUAL2026.xlsx</x:v>
      </x:c>
      <x:c r="R232" s="9" t="str">
        <x:v>默认</x:v>
      </x:c>
      <x:c r="S232" s="9" t="n">
        <x:v>135</x:v>
      </x:c>
      <x:c r="T232" s="9" t="str">
        <x:v>deede8b56943df4f914be45dba170f12e69064023d6ef0e88dbde1764f6ba23e</x:v>
      </x:c>
      <x:c r="U232" s="9" t="str">
        <x:v>W_SKIRTS_AVGPAID_1500_1600_ANNUAL2026</x:v>
      </x:c>
      <x:c r="V232" s="9" t="str">
        <x:v>W_SKIRTS_AVGPAID_1500_1600_ANNUAL2026.xlsx / 默认 / 第135行 / SHA256 deede8b56943df4f914be45dba170f12e69064023d6ef0e88dbde1764f6ba23e</x:v>
      </x:c>
    </x:row>
    <x:row r="233" ht="58" customHeight="1">
      <x:c r="A233" s="23" t="str">
        <x:v>1063590108099</x:v>
      </x:c>
      <x:c r="B233" s="22"/>
      <x:c r="C233" s="22"/>
      <x:c r="D233" s="22"/>
      <x:c r="E233" s="9" t="str">
        <x:v>裙长未明确</x:v>
      </x:c>
      <x:c r="F233" s="9" t="str">
        <x:v>裙装</x:v>
      </x:c>
      <x:c r="G233" s="9" t="str">
        <x:v>半身裙</x:v>
      </x:c>
      <x:c r="H233" s="9" t="str">
        <x:v>女</x:v>
      </x:c>
      <x:c r="I233" s="9" t="str">
        <x:v>DAZZLE 地素2026秋季包臀直筒复古百家布拼接短半裙</x:v>
      </x:c>
      <x:c r="J233" s="9" t="str">
        <x:v>DAZZLE/地素</x:v>
      </x:c>
      <x:c r="K233" s="24" t="n">
        <x:v>1307.11</x:v>
      </x:c>
      <x:c r="L233" s="25" t="e">
        <x:f>HYPERLINK("https://item.taobao.com/item.htm?id=1063590108099","打开商品")</x:f>
        <x:v>HYPERLINK is not implemented. linkLocation=https://item.taobao.com/item.htm?id=1063590108099, friendlyName=打开商品</x:v>
      </x:c>
      <x:c r="M233" s="25" t="e">
        <x:f>HYPERLINK("https://data.zhiyitech.cn/itemDetail/overview/base?itemId=1063590108099","打开知衣")</x:f>
        <x:v>HYPERLINK is not implemented. linkLocation=https://data.zhiyitech.cn/itemDetail/overview/base?itemId=1063590108099, friendlyName=打开知衣</x:v>
      </x:c>
      <x:c r="N233" s="25" t="e">
        <x:f>HYPERLINK("https://img.alicdn.com/bao/uploaded/i1/819984768/O1CN01eTwrGZ8cedF1chua_!!819984768.jpg","查看主图")</x:f>
        <x:v>HYPERLINK is not implemented. linkLocation=https://img.alicdn.com/bao/uploaded/i1/819984768/O1CN01eTwrGZ8cedF1chua_!!819984768.jpg, friendlyName=查看主图</x:v>
      </x:c>
      <x:c r="O233" s="9" t="str">
        <x:v>标题及既有类目语义复核；DAZZLE 地素2026秋季包臀直筒复古百家布拼接短半裙；原类目及标题已能确认半身裙；展示使用已知大类，未知裙长下沉到结构字段，不强猜长短。</x:v>
      </x:c>
      <x:c r="P233" s="9" t="str">
        <x:v>普通男女装</x:v>
      </x:c>
      <x:c r="Q233" s="9" t="str">
        <x:v>W_SKIRTS_AVGPAID_1300_1400_ANNUAL2026.xlsx</x:v>
      </x:c>
      <x:c r="R233" s="9" t="str">
        <x:v>默认</x:v>
      </x:c>
      <x:c r="S233" s="9" t="n">
        <x:v>181</x:v>
      </x:c>
      <x:c r="T233" s="9" t="str">
        <x:v>bd4dae1e08e9eca7ddd0669235bf59107cdc418b9c2898fc16f36a7ab5748692</x:v>
      </x:c>
      <x:c r="U233" s="9" t="str">
        <x:v>W_SKIRTS_AVGPAID_1300_1400_ANNUAL2026</x:v>
      </x:c>
      <x:c r="V233" s="9" t="str">
        <x:v>W_SKIRTS_AVGPAID_1300_1400_ANNUAL2026.xlsx / 默认 / 第181行 / SHA256 bd4dae1e08e9eca7ddd0669235bf59107cdc418b9c2898fc16f36a7ab5748692</x:v>
      </x:c>
    </x:row>
    <x:row r="234" ht="58" customHeight="1">
      <x:c r="A234" s="23" t="str">
        <x:v>1069728430610</x:v>
      </x:c>
      <x:c r="B234" s="22"/>
      <x:c r="C234" s="22"/>
      <x:c r="D234" s="22"/>
      <x:c r="E234" s="9" t="str">
        <x:v>裙长未明确</x:v>
      </x:c>
      <x:c r="F234" s="9" t="str">
        <x:v>裙装</x:v>
      </x:c>
      <x:c r="G234" s="9" t="str">
        <x:v>半身裙</x:v>
      </x:c>
      <x:c r="H234" s="9" t="str">
        <x:v>女</x:v>
      </x:c>
      <x:c r="I234" s="9" t="str">
        <x:v>DAZZLE 地素2026秋季轻薄极简A字撞色大格子半身裙</x:v>
      </x:c>
      <x:c r="J234" s="9" t="str">
        <x:v>DAZZLE/地素</x:v>
      </x:c>
      <x:c r="K234" s="24" t="n">
        <x:v>1752.62</x:v>
      </x:c>
      <x:c r="L234" s="25" t="e">
        <x:f>HYPERLINK("https://item.taobao.com/item.htm?id=1069728430610","打开商品")</x:f>
        <x:v>HYPERLINK is not implemented. linkLocation=https://item.taobao.com/item.htm?id=1069728430610, friendlyName=打开商品</x:v>
      </x:c>
      <x:c r="M234" s="25" t="e">
        <x:f>HYPERLINK("https://data.zhiyitech.cn/itemDetail/overview/base?itemId=1069728430610","打开知衣")</x:f>
        <x:v>HYPERLINK is not implemented. linkLocation=https://data.zhiyitech.cn/itemDetail/overview/base?itemId=1069728430610, friendlyName=打开知衣</x:v>
      </x:c>
      <x:c r="N234" s="25" t="e">
        <x:f>HYPERLINK("https://img.alicdn.com/bao/uploaded/i2/819984768/O1CN01OXID2upxMtB1chua_!!819984768.jpg","查看主图")</x:f>
        <x:v>HYPERLINK is not implemented. linkLocation=https://img.alicdn.com/bao/uploaded/i2/819984768/O1CN01OXID2upxMtB1chua_!!819984768.jpg, friendlyName=查看主图</x:v>
      </x:c>
      <x:c r="O234" s="9" t="str">
        <x:v>标题及既有类目语义复核；DAZZLE 地素2026秋季轻薄极简A字撞色大格子半身裙；原类目及标题已能确认半身裙；展示使用已知大类，未知裙长下沉到结构字段，不强猜长短。</x:v>
      </x:c>
      <x:c r="P234" s="9" t="str">
        <x:v>普通男女装</x:v>
      </x:c>
      <x:c r="Q234" s="9" t="str">
        <x:v>W_SKIRTS_AVGPAID_1700_1800_ANNUAL2026.xlsx</x:v>
      </x:c>
      <x:c r="R234" s="9" t="str">
        <x:v>默认</x:v>
      </x:c>
      <x:c r="S234" s="9" t="n">
        <x:v>15</x:v>
      </x:c>
      <x:c r="T234" s="9" t="str">
        <x:v>c25ed77c53c7c5cfcf728778a0e9b297d8689503f62756a939cbd534ca9b587a</x:v>
      </x:c>
      <x:c r="U234" s="9" t="str">
        <x:v>W_SKIRTS_AVGPAID_1700_1800_ANNUAL2026</x:v>
      </x:c>
      <x:c r="V234" s="9" t="str">
        <x:v>W_SKIRTS_AVGPAID_1700_1800_ANNUAL2026.xlsx / 默认 / 第15行 / SHA256 c25ed77c53c7c5cfcf728778a0e9b297d8689503f62756a939cbd534ca9b587a</x:v>
      </x:c>
    </x:row>
    <x:row r="235" ht="58" customHeight="1">
      <x:c r="A235" s="23" t="str">
        <x:v>1071513532469</x:v>
      </x:c>
      <x:c r="B235" s="22"/>
      <x:c r="C235" s="22"/>
      <x:c r="D235" s="22"/>
      <x:c r="E235" s="9" t="str">
        <x:v>裙长未明确</x:v>
      </x:c>
      <x:c r="F235" s="9" t="str">
        <x:v>裙装</x:v>
      </x:c>
      <x:c r="G235" s="9" t="str">
        <x:v>半身裙</x:v>
      </x:c>
      <x:c r="H235" s="9" t="str">
        <x:v>女</x:v>
      </x:c>
      <x:c r="I235" s="9" t="str">
        <x:v>DAZZLE 地素2026秋季修身直筒花瓣图案蕾丝褶皱半裙</x:v>
      </x:c>
      <x:c r="J235" s="9" t="str">
        <x:v>DAZZLE/地素</x:v>
      </x:c>
      <x:c r="K235" s="24" t="n">
        <x:v>1733.64</x:v>
      </x:c>
      <x:c r="L235" s="25" t="e">
        <x:f>HYPERLINK("https://item.taobao.com/item.htm?id=1071513532469","打开商品")</x:f>
        <x:v>HYPERLINK is not implemented. linkLocation=https://item.taobao.com/item.htm?id=1071513532469, friendlyName=打开商品</x:v>
      </x:c>
      <x:c r="M235" s="25" t="e">
        <x:f>HYPERLINK("https://data.zhiyitech.cn/itemDetail/overview/base?itemId=1071513532469","打开知衣")</x:f>
        <x:v>HYPERLINK is not implemented. linkLocation=https://data.zhiyitech.cn/itemDetail/overview/base?itemId=1071513532469, friendlyName=打开知衣</x:v>
      </x:c>
      <x:c r="N235" s="25" t="e">
        <x:f>HYPERLINK("https://img.alicdn.com/bao/uploaded/i1/819984768/O1CN01zdqPVQdLI6D1chua_!!819984768.jpg","查看主图")</x:f>
        <x:v>HYPERLINK is not implemented. linkLocation=https://img.alicdn.com/bao/uploaded/i1/819984768/O1CN01zdqPVQdLI6D1chua_!!819984768.jpg, friendlyName=查看主图</x:v>
      </x:c>
      <x:c r="O235" s="9" t="str">
        <x:v>标题及既有类目语义复核；DAZZLE 地素2026秋季修身直筒花瓣图案蕾丝褶皱半裙；原类目及标题已能确认半身裙；展示使用已知大类，未知裙长下沉到结构字段，不强猜长短。</x:v>
      </x:c>
      <x:c r="P235" s="9" t="str">
        <x:v>普通男女装</x:v>
      </x:c>
      <x:c r="Q235" s="9" t="str">
        <x:v>W_SKIRTS_AVGPAID_1700_1800_ANNUAL2026.xlsx</x:v>
      </x:c>
      <x:c r="R235" s="9" t="str">
        <x:v>默认</x:v>
      </x:c>
      <x:c r="S235" s="9" t="n">
        <x:v>89</x:v>
      </x:c>
      <x:c r="T235" s="9" t="str">
        <x:v>c25ed77c53c7c5cfcf728778a0e9b297d8689503f62756a939cbd534ca9b587a</x:v>
      </x:c>
      <x:c r="U235" s="9" t="str">
        <x:v>W_SKIRTS_AVGPAID_1700_1800_ANNUAL2026</x:v>
      </x:c>
      <x:c r="V235" s="9" t="str">
        <x:v>W_SKIRTS_AVGPAID_1700_1800_ANNUAL2026.xlsx / 默认 / 第89行 / SHA256 c25ed77c53c7c5cfcf728778a0e9b297d8689503f62756a939cbd534ca9b587a</x:v>
      </x:c>
    </x:row>
    <x:row r="236" ht="58" customHeight="1">
      <x:c r="A236" s="23" t="str">
        <x:v>1076660047970</x:v>
      </x:c>
      <x:c r="B236" s="22"/>
      <x:c r="C236" s="22"/>
      <x:c r="D236" s="22"/>
      <x:c r="E236" s="9" t="str">
        <x:v>裙长未明确</x:v>
      </x:c>
      <x:c r="F236" s="9" t="str">
        <x:v>裙装</x:v>
      </x:c>
      <x:c r="G236" s="9" t="str">
        <x:v>半身裙</x:v>
      </x:c>
      <x:c r="H236" s="9" t="str">
        <x:v>女</x:v>
      </x:c>
      <x:c r="I236" s="9" t="str">
        <x:v>DAZZLE 地素2026秋季A字版型中式图案拼接花布半裙</x:v>
      </x:c>
      <x:c r="J236" s="9" t="str">
        <x:v>DAZZLE/地素</x:v>
      </x:c>
      <x:c r="K236" s="24" t="n">
        <x:v>1509.25</x:v>
      </x:c>
      <x:c r="L236" s="25" t="e">
        <x:f>HYPERLINK("https://item.taobao.com/item.htm?id=1076660047970","打开商品")</x:f>
        <x:v>HYPERLINK is not implemented. linkLocation=https://item.taobao.com/item.htm?id=1076660047970, friendlyName=打开商品</x:v>
      </x:c>
      <x:c r="M236" s="25" t="e">
        <x:f>HYPERLINK("https://data.zhiyitech.cn/itemDetail/overview/base?itemId=1076660047970","打开知衣")</x:f>
        <x:v>HYPERLINK is not implemented. linkLocation=https://data.zhiyitech.cn/itemDetail/overview/base?itemId=1076660047970, friendlyName=打开知衣</x:v>
      </x:c>
      <x:c r="N236" s="25" t="e">
        <x:f>HYPERLINK("https://img.alicdn.com/bao/uploaded/i3/819984768/O1CN01d8Tswo3AaHJ1chua_!!819984768.jpg","查看主图")</x:f>
        <x:v>HYPERLINK is not implemented. linkLocation=https://img.alicdn.com/bao/uploaded/i3/819984768/O1CN01d8Tswo3AaHJ1chua_!!819984768.jpg, friendlyName=查看主图</x:v>
      </x:c>
      <x:c r="O236" s="9" t="str">
        <x:v>标题及既有类目语义复核；DAZZLE 地素2026秋季A字版型中式图案拼接花布半裙；原类目及标题已能确认半身裙；展示使用已知大类，未知裙长下沉到结构字段，不强猜长短。</x:v>
      </x:c>
      <x:c r="P236" s="9" t="str">
        <x:v>普通男女装</x:v>
      </x:c>
      <x:c r="Q236" s="9" t="str">
        <x:v>W_SKIRTS_AVGPAID_1500_1600_ANNUAL2026.xlsx</x:v>
      </x:c>
      <x:c r="R236" s="9" t="str">
        <x:v>默认</x:v>
      </x:c>
      <x:c r="S236" s="9" t="n">
        <x:v>89</x:v>
      </x:c>
      <x:c r="T236" s="9" t="str">
        <x:v>deede8b56943df4f914be45dba170f12e69064023d6ef0e88dbde1764f6ba23e</x:v>
      </x:c>
      <x:c r="U236" s="9" t="str">
        <x:v>W_SKIRTS_AVGPAID_1500_1600_ANNUAL2026</x:v>
      </x:c>
      <x:c r="V236" s="9" t="str">
        <x:v>W_SKIRTS_AVGPAID_1500_1600_ANNUAL2026.xlsx / 默认 / 第89行 / SHA256 deede8b56943df4f914be45dba170f12e69064023d6ef0e88dbde1764f6ba23e</x:v>
      </x:c>
    </x:row>
    <x:row r="237" ht="58" customHeight="1">
      <x:c r="A237" s="23" t="str">
        <x:v>1077521750466</x:v>
      </x:c>
      <x:c r="B237" s="22"/>
      <x:c r="C237" s="22"/>
      <x:c r="D237" s="22"/>
      <x:c r="E237" s="9" t="str">
        <x:v>裙长未明确</x:v>
      </x:c>
      <x:c r="F237" s="9" t="str">
        <x:v>裙装</x:v>
      </x:c>
      <x:c r="G237" s="9" t="str">
        <x:v>半身裙</x:v>
      </x:c>
      <x:c r="H237" s="9" t="str">
        <x:v>女</x:v>
      </x:c>
      <x:c r="I237" s="9" t="str">
        <x:v>DAZZLE 地素2026冬季直筒版型肌理感半裙</x:v>
      </x:c>
      <x:c r="J237" s="9" t="str">
        <x:v>DAZZLE/地素</x:v>
      </x:c>
      <x:c r="K237" s="24" t="n">
        <x:v>1725.4</x:v>
      </x:c>
      <x:c r="L237" s="25" t="e">
        <x:f>HYPERLINK("https://item.taobao.com/item.htm?id=1077521750466","打开商品")</x:f>
        <x:v>HYPERLINK is not implemented. linkLocation=https://item.taobao.com/item.htm?id=1077521750466, friendlyName=打开商品</x:v>
      </x:c>
      <x:c r="M237" s="25" t="e">
        <x:f>HYPERLINK("https://data.zhiyitech.cn/itemDetail/overview/base?itemId=1077521750466","打开知衣")</x:f>
        <x:v>HYPERLINK is not implemented. linkLocation=https://data.zhiyitech.cn/itemDetail/overview/base?itemId=1077521750466, friendlyName=打开知衣</x:v>
      </x:c>
      <x:c r="N237" s="25" t="e">
        <x:f>HYPERLINK("https://img.alicdn.com/bao/uploaded/i1/819984768/O1CN01hToHNYIgseL1chua_!!4611686018427386240-0-item_pic.jpg","查看主图")</x:f>
        <x:v>HYPERLINK is not implemented. linkLocation=https://img.alicdn.com/bao/uploaded/i1/819984768/O1CN01hToHNYIgseL1chua_!!4611686018427386240-0-item_pic.jpg, friendlyName=查看主图</x:v>
      </x:c>
      <x:c r="O237" s="9" t="str">
        <x:v>标题及既有类目语义复核；DAZZLE 地素2026冬季直筒版型肌理感半裙；原类目及标题已能确认半身裙；展示使用已知大类，未知裙长下沉到结构字段，不强猜长短。</x:v>
      </x:c>
      <x:c r="P237" s="9" t="str">
        <x:v>普通男女装</x:v>
      </x:c>
      <x:c r="Q237" s="9" t="str">
        <x:v>W_SKIRTS_AVGPAID_1700_1800_ANNUAL2026.xlsx</x:v>
      </x:c>
      <x:c r="R237" s="9" t="str">
        <x:v>默认</x:v>
      </x:c>
      <x:c r="S237" s="9" t="n">
        <x:v>11</x:v>
      </x:c>
      <x:c r="T237" s="9" t="str">
        <x:v>c25ed77c53c7c5cfcf728778a0e9b297d8689503f62756a939cbd534ca9b587a</x:v>
      </x:c>
      <x:c r="U237" s="9" t="str">
        <x:v>W_SKIRTS_AVGPAID_1700_1800_ANNUAL2026</x:v>
      </x:c>
      <x:c r="V237" s="9" t="str">
        <x:v>W_SKIRTS_AVGPAID_1700_1800_ANNUAL2026.xlsx / 默认 / 第11行 / SHA256 c25ed77c53c7c5cfcf728778a0e9b297d8689503f62756a939cbd534ca9b587a</x:v>
      </x:c>
    </x:row>
    <x:row r="238" ht="58" customHeight="1">
      <x:c r="A238" s="23" t="str">
        <x:v>1079574016718</x:v>
      </x:c>
      <x:c r="B238" s="22"/>
      <x:c r="C238" s="22"/>
      <x:c r="D238" s="22"/>
      <x:c r="E238" s="9" t="str">
        <x:v>裙长未明确</x:v>
      </x:c>
      <x:c r="F238" s="9" t="str">
        <x:v>裙装</x:v>
      </x:c>
      <x:c r="G238" s="9" t="str">
        <x:v>半身裙</x:v>
      </x:c>
      <x:c r="H238" s="9" t="str">
        <x:v>女</x:v>
      </x:c>
      <x:c r="I238" s="9" t="str">
        <x:v>DAZZLE 地素2026冬季轻盈百褶小象碎花半裙</x:v>
      </x:c>
      <x:c r="J238" s="9" t="str">
        <x:v>DAZZLE/地素</x:v>
      </x:c>
      <x:c r="K238" s="24" t="n">
        <x:v>1737.96</x:v>
      </x:c>
      <x:c r="L238" s="25" t="e">
        <x:f>HYPERLINK("https://item.taobao.com/item.htm?id=1079574016718","打开商品")</x:f>
        <x:v>HYPERLINK is not implemented. linkLocation=https://item.taobao.com/item.htm?id=1079574016718, friendlyName=打开商品</x:v>
      </x:c>
      <x:c r="M238" s="25" t="e">
        <x:f>HYPERLINK("https://data.zhiyitech.cn/itemDetail/overview/base?itemId=1079574016718","打开知衣")</x:f>
        <x:v>HYPERLINK is not implemented. linkLocation=https://data.zhiyitech.cn/itemDetail/overview/base?itemId=1079574016718, friendlyName=打开知衣</x:v>
      </x:c>
      <x:c r="N238" s="25" t="e">
        <x:f>HYPERLINK("https://img.alicdn.com/bao/uploaded/i1/819984768/O1CN01upsQ5gYDMBI1chua_!!4611686018427386240-0-item_pic.jpg","查看主图")</x:f>
        <x:v>HYPERLINK is not implemented. linkLocation=https://img.alicdn.com/bao/uploaded/i1/819984768/O1CN01upsQ5gYDMBI1chua_!!4611686018427386240-0-item_pic.jpg, friendlyName=查看主图</x:v>
      </x:c>
      <x:c r="O238" s="9" t="str">
        <x:v>标题及既有类目语义复核；DAZZLE 地素2026冬季轻盈百褶小象碎花半裙；原类目及标题已能确认半身裙；展示使用已知大类，未知裙长下沉到结构字段，不强猜长短。</x:v>
      </x:c>
      <x:c r="P238" s="9" t="str">
        <x:v>普通男女装</x:v>
      </x:c>
      <x:c r="Q238" s="9" t="str">
        <x:v>W_SKIRTS_AVGPAID_1700_1800_ANNUAL2026.xlsx</x:v>
      </x:c>
      <x:c r="R238" s="9" t="str">
        <x:v>默认</x:v>
      </x:c>
      <x:c r="S238" s="9" t="n">
        <x:v>28</x:v>
      </x:c>
      <x:c r="T238" s="9" t="str">
        <x:v>c25ed77c53c7c5cfcf728778a0e9b297d8689503f62756a939cbd534ca9b587a</x:v>
      </x:c>
      <x:c r="U238" s="9" t="str">
        <x:v>W_SKIRTS_AVGPAID_1700_1800_ANNUAL2026</x:v>
      </x:c>
      <x:c r="V238" s="9" t="str">
        <x:v>W_SKIRTS_AVGPAID_1700_1800_ANNUAL2026.xlsx / 默认 / 第28行 / SHA256 c25ed77c53c7c5cfcf728778a0e9b297d8689503f62756a939cbd534ca9b587a</x:v>
      </x:c>
    </x:row>
    <x:row r="239" ht="58" customHeight="1">
      <x:c r="A239" s="23" t="str">
        <x:v>952568863152</x:v>
      </x:c>
      <x:c r="B239" s="22"/>
      <x:c r="C239" s="22"/>
      <x:c r="D239" s="22"/>
      <x:c r="E239" s="9" t="str">
        <x:v>裙长未明确</x:v>
      </x:c>
      <x:c r="F239" s="9" t="str">
        <x:v>裙装</x:v>
      </x:c>
      <x:c r="G239" s="9" t="str">
        <x:v>半身裙</x:v>
      </x:c>
      <x:c r="H239" s="9" t="str">
        <x:v>女</x:v>
      </x:c>
      <x:c r="I239" s="9" t="str">
        <x:v>DAZZLE 地素半身裙秋冬漂真丝混纺网纱半裙</x:v>
      </x:c>
      <x:c r="J239" s="9" t="str">
        <x:v>DAZZLE/地素</x:v>
      </x:c>
      <x:c r="K239" s="24" t="n">
        <x:v>1347.68</x:v>
      </x:c>
      <x:c r="L239" s="25" t="e">
        <x:f>HYPERLINK("https://item.taobao.com/item.htm?id=952568863152","打开商品")</x:f>
        <x:v>HYPERLINK is not implemented. linkLocation=https://item.taobao.com/item.htm?id=952568863152, friendlyName=打开商品</x:v>
      </x:c>
      <x:c r="M239" s="25" t="e">
        <x:f>HYPERLINK("https://data.zhiyitech.cn/itemDetail/overview/base?itemId=952568863152","打开知衣")</x:f>
        <x:v>HYPERLINK is not implemented. linkLocation=https://data.zhiyitech.cn/itemDetail/overview/base?itemId=952568863152, friendlyName=打开知衣</x:v>
      </x:c>
      <x:c r="N239" s="25" t="e">
        <x:f>HYPERLINK("https://img.alicdn.com/bao/uploaded/i4/819984768/O1CN01TBBYe7QyHaD1chua_!!819984768.jpg","查看主图")</x:f>
        <x:v>HYPERLINK is not implemented. linkLocation=https://img.alicdn.com/bao/uploaded/i4/819984768/O1CN01TBBYe7QyHaD1chua_!!819984768.jpg, friendlyName=查看主图</x:v>
      </x:c>
      <x:c r="O239" s="9" t="str">
        <x:v>标题及既有类目语义复核；DAZZLE 地素半身裙秋冬漂真丝混纺网纱半裙；原类目及标题已能确认半身裙；展示使用已知大类，未知裙长下沉到结构字段，不强猜长短。</x:v>
      </x:c>
      <x:c r="P239" s="9" t="str">
        <x:v>普通男女装</x:v>
      </x:c>
      <x:c r="Q239" s="9" t="str">
        <x:v>W_SKIRTS_AVGPAID_1300_1400_ANNUAL2026.xlsx</x:v>
      </x:c>
      <x:c r="R239" s="9" t="str">
        <x:v>默认</x:v>
      </x:c>
      <x:c r="S239" s="9" t="n">
        <x:v>404</x:v>
      </x:c>
      <x:c r="T239" s="9" t="str">
        <x:v>bd4dae1e08e9eca7ddd0669235bf59107cdc418b9c2898fc16f36a7ab5748692</x:v>
      </x:c>
      <x:c r="U239" s="9" t="str">
        <x:v>W_SKIRTS_AVGPAID_1300_1400_ANNUAL2026</x:v>
      </x:c>
      <x:c r="V239" s="9" t="str">
        <x:v>W_SKIRTS_AVGPAID_1300_1400_ANNUAL2026.xlsx / 默认 / 第404行 / SHA256 bd4dae1e08e9eca7ddd0669235bf59107cdc418b9c2898fc16f36a7ab5748692</x:v>
      </x:c>
    </x:row>
    <x:row r="240" ht="58" customHeight="1">
      <x:c r="A240" s="23" t="str">
        <x:v>959970050980</x:v>
      </x:c>
      <x:c r="B240" s="22"/>
      <x:c r="C240" s="22"/>
      <x:c r="D240" s="22"/>
      <x:c r="E240" s="9" t="str">
        <x:v>裙长未明确</x:v>
      </x:c>
      <x:c r="F240" s="9" t="str">
        <x:v>裙装</x:v>
      </x:c>
      <x:c r="G240" s="9" t="str">
        <x:v>半身裙</x:v>
      </x:c>
      <x:c r="H240" s="9" t="str">
        <x:v>女</x:v>
      </x:c>
      <x:c r="I240" s="9" t="str">
        <x:v>DAZZLE 地素半裙秋冬米白色莱赛尔混纺拼接裙</x:v>
      </x:c>
      <x:c r="J240" s="9" t="str">
        <x:v>DAZZLE/地素</x:v>
      </x:c>
      <x:c r="K240" s="24" t="n">
        <x:v>1523.69</x:v>
      </x:c>
      <x:c r="L240" s="25" t="e">
        <x:f>HYPERLINK("https://item.taobao.com/item.htm?id=959970050980","打开商品")</x:f>
        <x:v>HYPERLINK is not implemented. linkLocation=https://item.taobao.com/item.htm?id=959970050980, friendlyName=打开商品</x:v>
      </x:c>
      <x:c r="M240" s="25" t="e">
        <x:f>HYPERLINK("https://data.zhiyitech.cn/itemDetail/overview/base?itemId=959970050980","打开知衣")</x:f>
        <x:v>HYPERLINK is not implemented. linkLocation=https://data.zhiyitech.cn/itemDetail/overview/base?itemId=959970050980, friendlyName=打开知衣</x:v>
      </x:c>
      <x:c r="N240" s="25" t="e">
        <x:f>HYPERLINK("https://img.alicdn.com/bao/uploaded/i3/819984768/O1CN01b4ZZv39lrgB1chua_!!819984768.jpg","查看主图")</x:f>
        <x:v>HYPERLINK is not implemented. linkLocation=https://img.alicdn.com/bao/uploaded/i3/819984768/O1CN01b4ZZv39lrgB1chua_!!819984768.jpg, friendlyName=查看主图</x:v>
      </x:c>
      <x:c r="O240" s="9" t="str">
        <x:v>标题及既有类目语义复核；DAZZLE 地素半裙秋冬米白色莱赛尔混纺拼接裙；原类目及标题已能确认半身裙；展示使用已知大类，未知裙长下沉到结构字段，不强猜长短。</x:v>
      </x:c>
      <x:c r="P240" s="9" t="str">
        <x:v>普通男女装</x:v>
      </x:c>
      <x:c r="Q240" s="9" t="str">
        <x:v>W_SKIRTS_AVGPAID_1500_1600_ANNUAL2026.xlsx</x:v>
      </x:c>
      <x:c r="R240" s="9" t="str">
        <x:v>默认</x:v>
      </x:c>
      <x:c r="S240" s="9" t="n">
        <x:v>156</x:v>
      </x:c>
      <x:c r="T240" s="9" t="str">
        <x:v>deede8b56943df4f914be45dba170f12e69064023d6ef0e88dbde1764f6ba23e</x:v>
      </x:c>
      <x:c r="U240" s="9" t="str">
        <x:v>W_SKIRTS_AVGPAID_1500_1600_ANNUAL2026</x:v>
      </x:c>
      <x:c r="V240" s="9" t="str">
        <x:v>W_SKIRTS_AVGPAID_1500_1600_ANNUAL2026.xlsx / 默认 / 第156行 / SHA256 deede8b56943df4f914be45dba170f12e69064023d6ef0e88dbde1764f6ba23e</x:v>
      </x:c>
    </x:row>
    <x:row r="241" ht="58" customHeight="1">
      <x:c r="A241" s="23" t="str">
        <x:v>968263860474</x:v>
      </x:c>
      <x:c r="B241" s="22"/>
      <x:c r="C241" s="22"/>
      <x:c r="D241" s="22"/>
      <x:c r="E241" s="9" t="str">
        <x:v>裙长未明确</x:v>
      </x:c>
      <x:c r="F241" s="9" t="str">
        <x:v>裙装</x:v>
      </x:c>
      <x:c r="G241" s="9" t="str">
        <x:v>半身裙</x:v>
      </x:c>
      <x:c r="H241" s="9" t="str">
        <x:v>女</x:v>
      </x:c>
      <x:c r="I241" s="9" t="str">
        <x:v>【青绿冬季系列】DAZZLE 地素半裙冬丝绒中式裙</x:v>
      </x:c>
      <x:c r="J241" s="9" t="str">
        <x:v>DAZZLE/地素</x:v>
      </x:c>
      <x:c r="K241" s="24" t="n">
        <x:v>1354.88</x:v>
      </x:c>
      <x:c r="L241" s="25" t="e">
        <x:f>HYPERLINK("https://item.taobao.com/item.htm?id=968263860474","打开商品")</x:f>
        <x:v>HYPERLINK is not implemented. linkLocation=https://item.taobao.com/item.htm?id=968263860474, friendlyName=打开商品</x:v>
      </x:c>
      <x:c r="M241" s="25" t="e">
        <x:f>HYPERLINK("https://data.zhiyitech.cn/itemDetail/overview/base?itemId=968263860474","打开知衣")</x:f>
        <x:v>HYPERLINK is not implemented. linkLocation=https://data.zhiyitech.cn/itemDetail/overview/base?itemId=968263860474, friendlyName=打开知衣</x:v>
      </x:c>
      <x:c r="N241" s="25" t="e">
        <x:f>HYPERLINK("https://img.alicdn.com/bao/uploaded/i3/819984768/O1CN01W1uwXw855UK1chua_!!819984768.jpg","查看主图")</x:f>
        <x:v>HYPERLINK is not implemented. linkLocation=https://img.alicdn.com/bao/uploaded/i3/819984768/O1CN01W1uwXw855UK1chua_!!819984768.jpg, friendlyName=查看主图</x:v>
      </x:c>
      <x:c r="O241" s="9" t="str">
        <x:v>标题及既有类目语义复核；【青绿冬季系列】DAZZLE 地素半裙冬丝绒中式裙；原类目及标题已能确认半身裙；展示使用已知大类，未知裙长下沉到结构字段，不强猜长短。</x:v>
      </x:c>
      <x:c r="P241" s="9" t="str">
        <x:v>普通男女装</x:v>
      </x:c>
      <x:c r="Q241" s="9" t="str">
        <x:v>W_SKIRTS_AVGPAID_1300_1400_ANNUAL2026.xlsx</x:v>
      </x:c>
      <x:c r="R241" s="9" t="str">
        <x:v>默认</x:v>
      </x:c>
      <x:c r="S241" s="9" t="n">
        <x:v>148</x:v>
      </x:c>
      <x:c r="T241" s="9" t="str">
        <x:v>bd4dae1e08e9eca7ddd0669235bf59107cdc418b9c2898fc16f36a7ab5748692</x:v>
      </x:c>
      <x:c r="U241" s="9" t="str">
        <x:v>W_SKIRTS_AVGPAID_1300_1400_ANNUAL2026</x:v>
      </x:c>
      <x:c r="V241" s="9" t="str">
        <x:v>W_SKIRTS_AVGPAID_1300_1400_ANNUAL2026.xlsx / 默认 / 第148行 / SHA256 bd4dae1e08e9eca7ddd0669235bf59107cdc418b9c2898fc16f36a7ab5748692</x:v>
      </x:c>
    </x:row>
    <x:row r="242" ht="58" customHeight="1">
      <x:c r="A242" s="23" t="str">
        <x:v>979042866969</x:v>
      </x:c>
      <x:c r="B242" s="22"/>
      <x:c r="C242" s="22"/>
      <x:c r="D242" s="22"/>
      <x:c r="E242" s="9" t="str">
        <x:v>裙长未明确</x:v>
      </x:c>
      <x:c r="F242" s="9" t="str">
        <x:v>裙装</x:v>
      </x:c>
      <x:c r="G242" s="9" t="str">
        <x:v>半身裙</x:v>
      </x:c>
      <x:c r="H242" s="9" t="str">
        <x:v>女</x:v>
      </x:c>
      <x:c r="I242" s="9" t="str">
        <x:v>DAZZLE 地素半裙冬季白色豹纹半身裙</x:v>
      </x:c>
      <x:c r="J242" s="9" t="str">
        <x:v>DAZZLE/地素</x:v>
      </x:c>
      <x:c r="K242" s="24" t="n">
        <x:v>1515.52</x:v>
      </x:c>
      <x:c r="L242" s="25" t="e">
        <x:f>HYPERLINK("https://item.taobao.com/item.htm?id=979042866969","打开商品")</x:f>
        <x:v>HYPERLINK is not implemented. linkLocation=https://item.taobao.com/item.htm?id=979042866969, friendlyName=打开商品</x:v>
      </x:c>
      <x:c r="M242" s="25" t="e">
        <x:f>HYPERLINK("https://data.zhiyitech.cn/itemDetail/overview/base?itemId=979042866969","打开知衣")</x:f>
        <x:v>HYPERLINK is not implemented. linkLocation=https://data.zhiyitech.cn/itemDetail/overview/base?itemId=979042866969, friendlyName=打开知衣</x:v>
      </x:c>
      <x:c r="N242" s="25" t="e">
        <x:f>HYPERLINK("https://img.alicdn.com/bao/uploaded/i3/819984768/O1CN01bC1B0K0jLAE1chua_!!819984768.jpg","查看主图")</x:f>
        <x:v>HYPERLINK is not implemented. linkLocation=https://img.alicdn.com/bao/uploaded/i3/819984768/O1CN01bC1B0K0jLAE1chua_!!819984768.jpg, friendlyName=查看主图</x:v>
      </x:c>
      <x:c r="O242" s="9" t="str">
        <x:v>标题及既有类目语义复核；DAZZLE 地素半裙冬季白色豹纹半身裙；原类目及标题已能确认半身裙；展示使用已知大类，未知裙长下沉到结构字段，不强猜长短。</x:v>
      </x:c>
      <x:c r="P242" s="9" t="str">
        <x:v>普通男女装</x:v>
      </x:c>
      <x:c r="Q242" s="9" t="str">
        <x:v>W_SKIRTS_AVGPAID_1500_1600_ANNUAL2026.xlsx</x:v>
      </x:c>
      <x:c r="R242" s="9" t="str">
        <x:v>默认</x:v>
      </x:c>
      <x:c r="S242" s="9" t="n">
        <x:v>289</x:v>
      </x:c>
      <x:c r="T242" s="9" t="str">
        <x:v>deede8b56943df4f914be45dba170f12e69064023d6ef0e88dbde1764f6ba23e</x:v>
      </x:c>
      <x:c r="U242" s="9" t="str">
        <x:v>W_SKIRTS_AVGPAID_1500_1600_ANNUAL2026</x:v>
      </x:c>
      <x:c r="V242" s="9" t="str">
        <x:v>W_SKIRTS_AVGPAID_1500_1600_ANNUAL2026.xlsx / 默认 / 第289行 / SHA256 deede8b56943df4f914be45dba170f12e69064023d6ef0e88dbde1764f6ba23e</x:v>
      </x:c>
    </x:row>
    <x:row r="243" ht="58" customHeight="1">
      <x:c r="A243" s="23" t="str">
        <x:v>979770409899</x:v>
      </x:c>
      <x:c r="B243" s="22"/>
      <x:c r="C243" s="22"/>
      <x:c r="D243" s="22"/>
      <x:c r="E243" s="9" t="str">
        <x:v>裙长未明确</x:v>
      </x:c>
      <x:c r="F243" s="9" t="str">
        <x:v>裙装</x:v>
      </x:c>
      <x:c r="G243" s="9" t="str">
        <x:v>半身裙</x:v>
      </x:c>
      <x:c r="H243" s="9" t="str">
        <x:v>女</x:v>
      </x:c>
      <x:c r="I243" s="9" t="str">
        <x:v>DAZZLE 地素半裙冬季 绵羊毛混纺针织半身裙</x:v>
      </x:c>
      <x:c r="J243" s="9" t="str">
        <x:v>DAZZLE/地素</x:v>
      </x:c>
      <x:c r="K243" s="24" t="n">
        <x:v>1533.1</x:v>
      </x:c>
      <x:c r="L243" s="25" t="e">
        <x:f>HYPERLINK("https://item.taobao.com/item.htm?id=979770409899","打开商品")</x:f>
        <x:v>HYPERLINK is not implemented. linkLocation=https://item.taobao.com/item.htm?id=979770409899, friendlyName=打开商品</x:v>
      </x:c>
      <x:c r="M243" s="25" t="e">
        <x:f>HYPERLINK("https://data.zhiyitech.cn/itemDetail/overview/base?itemId=979770409899","打开知衣")</x:f>
        <x:v>HYPERLINK is not implemented. linkLocation=https://data.zhiyitech.cn/itemDetail/overview/base?itemId=979770409899, friendlyName=打开知衣</x:v>
      </x:c>
      <x:c r="N243" s="25" t="e">
        <x:f>HYPERLINK("https://img.alicdn.com/bao/uploaded/i3/819984768/O1CN01SaplFuWaCmD1chua_!!819984768.jpg","查看主图")</x:f>
        <x:v>HYPERLINK is not implemented. linkLocation=https://img.alicdn.com/bao/uploaded/i3/819984768/O1CN01SaplFuWaCmD1chua_!!819984768.jpg, friendlyName=查看主图</x:v>
      </x:c>
      <x:c r="O243" s="9" t="str">
        <x:v>标题及既有类目语义复核；DAZZLE 地素半裙冬季 绵羊毛混纺针织半身裙；原类目及标题已能确认半身裙；展示使用已知大类，未知裙长下沉到结构字段，不强猜长短。</x:v>
      </x:c>
      <x:c r="P243" s="9" t="str">
        <x:v>普通男女装</x:v>
      </x:c>
      <x:c r="Q243" s="9" t="str">
        <x:v>W_SKIRTS_AVGPAID_1500_1600_ANNUAL2026.xlsx</x:v>
      </x:c>
      <x:c r="R243" s="9" t="str">
        <x:v>默认</x:v>
      </x:c>
      <x:c r="S243" s="9" t="n">
        <x:v>477</x:v>
      </x:c>
      <x:c r="T243" s="9" t="str">
        <x:v>deede8b56943df4f914be45dba170f12e69064023d6ef0e88dbde1764f6ba23e</x:v>
      </x:c>
      <x:c r="U243" s="9" t="str">
        <x:v>W_SKIRTS_AVGPAID_1500_1600_ANNUAL2026</x:v>
      </x:c>
      <x:c r="V243" s="9" t="str">
        <x:v>W_SKIRTS_AVGPAID_1500_1600_ANNUAL2026.xlsx / 默认 / 第477行 / SHA256 deede8b56943df4f914be45dba170f12e69064023d6ef0e88dbde1764f6ba23e</x:v>
      </x:c>
    </x:row>
    <x:row r="244" ht="58" customHeight="1">
      <x:c r="A244" s="23" t="str">
        <x:v>980426992294</x:v>
      </x:c>
      <x:c r="B244" s="22"/>
      <x:c r="C244" s="22"/>
      <x:c r="D244" s="22"/>
      <x:c r="E244" s="9" t="str">
        <x:v>裙长未明确</x:v>
      </x:c>
      <x:c r="F244" s="9" t="str">
        <x:v>裙装</x:v>
      </x:c>
      <x:c r="G244" s="9" t="str">
        <x:v>半身裙</x:v>
      </x:c>
      <x:c r="H244" s="9" t="str">
        <x:v>女</x:v>
      </x:c>
      <x:c r="I244" s="9" t="str">
        <x:v>DAZZLE 地素半身裙冬季 黑立体褶皱拼接半裙</x:v>
      </x:c>
      <x:c r="J244" s="9" t="str">
        <x:v>DAZZLE/地素</x:v>
      </x:c>
      <x:c r="K244" s="24" t="n">
        <x:v>1740.18</x:v>
      </x:c>
      <x:c r="L244" s="25" t="e">
        <x:f>HYPERLINK("https://item.taobao.com/item.htm?id=980426992294","打开商品")</x:f>
        <x:v>HYPERLINK is not implemented. linkLocation=https://item.taobao.com/item.htm?id=980426992294, friendlyName=打开商品</x:v>
      </x:c>
      <x:c r="M244" s="25" t="e">
        <x:f>HYPERLINK("https://data.zhiyitech.cn/itemDetail/overview/base?itemId=980426992294","打开知衣")</x:f>
        <x:v>HYPERLINK is not implemented. linkLocation=https://data.zhiyitech.cn/itemDetail/overview/base?itemId=980426992294, friendlyName=打开知衣</x:v>
      </x:c>
      <x:c r="N244" s="25" t="e">
        <x:f>HYPERLINK("https://img.alicdn.com/bao/uploaded/i2/819984768/O1CN01e5G4e5FEz1D1chua_!!819984768.jpg","查看主图")</x:f>
        <x:v>HYPERLINK is not implemented. linkLocation=https://img.alicdn.com/bao/uploaded/i2/819984768/O1CN01e5G4e5FEz1D1chua_!!819984768.jpg, friendlyName=查看主图</x:v>
      </x:c>
      <x:c r="O244" s="9" t="str">
        <x:v>标题及既有类目语义复核；DAZZLE 地素半身裙冬季 黑立体褶皱拼接半裙；原类目及标题已能确认半身裙；展示使用已知大类，未知裙长下沉到结构字段，不强猜长短。</x:v>
      </x:c>
      <x:c r="P244" s="9" t="str">
        <x:v>普通男女装</x:v>
      </x:c>
      <x:c r="Q244" s="9" t="str">
        <x:v>W_SKIRTS_AVGPAID_1700_1800_ANNUAL2026.xlsx</x:v>
      </x:c>
      <x:c r="R244" s="9" t="str">
        <x:v>默认</x:v>
      </x:c>
      <x:c r="S244" s="9" t="n">
        <x:v>96</x:v>
      </x:c>
      <x:c r="T244" s="9" t="str">
        <x:v>c25ed77c53c7c5cfcf728778a0e9b297d8689503f62756a939cbd534ca9b587a</x:v>
      </x:c>
      <x:c r="U244" s="9" t="str">
        <x:v>W_SKIRTS_AVGPAID_1700_1800_ANNUAL2026</x:v>
      </x:c>
      <x:c r="V244" s="9" t="str">
        <x:v>W_SKIRTS_AVGPAID_1700_1800_ANNUAL2026.xlsx / 默认 / 第96行 / SHA256 c25ed77c53c7c5cfcf728778a0e9b297d8689503f62756a939cbd534ca9b587a</x:v>
      </x:c>
    </x:row>
    <x:row r="245" ht="58" customHeight="1">
      <x:c r="A245" s="23" t="str">
        <x:v>1068416520997</x:v>
      </x:c>
      <x:c r="B245" s="22"/>
      <x:c r="C245" s="22"/>
      <x:c r="D245" s="22"/>
      <x:c r="E245" s="9" t="str">
        <x:v>裙长未明确</x:v>
      </x:c>
      <x:c r="F245" s="9" t="str">
        <x:v>裙装</x:v>
      </x:c>
      <x:c r="G245" s="9" t="str">
        <x:v>半身裙</x:v>
      </x:c>
      <x:c r="H245" s="9" t="str">
        <x:v>女</x:v>
      </x:c>
      <x:c r="I245" s="9" t="str">
        <x:v>【deepmoss】2026秋冬新款松间浮沙时刻芭蕾半裙</x:v>
      </x:c>
      <x:c r="J245" s="9" t="str">
        <x:v>DEEPMOSS</x:v>
      </x:c>
      <x:c r="K245" s="24" t="n">
        <x:v>1548.77</x:v>
      </x:c>
      <x:c r="L245" s="25" t="e">
        <x:f>HYPERLINK("https://item.taobao.com/item.htm?id=1068416520997","打开商品")</x:f>
        <x:v>HYPERLINK is not implemented. linkLocation=https://item.taobao.com/item.htm?id=1068416520997, friendlyName=打开商品</x:v>
      </x:c>
      <x:c r="M245" s="25" t="e">
        <x:f>HYPERLINK("https://data.zhiyitech.cn/itemDetail/overview/base?itemId=1068416520997","打开知衣")</x:f>
        <x:v>HYPERLINK is not implemented. linkLocation=https://data.zhiyitech.cn/itemDetail/overview/base?itemId=1068416520997, friendlyName=打开知衣</x:v>
      </x:c>
      <x:c r="N245" s="25" t="e">
        <x:f>HYPERLINK("https://img.alicdn.com/bao/uploaded/i2/2201231358306/O1CN016ny3LY2BECsTYNc4W_!!4611686018427386210-0-item_pic.jpg","查看主图")</x:f>
        <x:v>HYPERLINK is not implemented. linkLocation=https://img.alicdn.com/bao/uploaded/i2/2201231358306/O1CN016ny3LY2BECsTYNc4W_!!4611686018427386210-0-item_pic.jpg, friendlyName=查看主图</x:v>
      </x:c>
      <x:c r="O245" s="9" t="str">
        <x:v>标题及既有类目语义复核；【deepmoss】2026秋冬新款松间浮沙时刻芭蕾半裙；原类目及标题已能确认半身裙；展示使用已知大类，未知裙长下沉到结构字段，不强猜长短。</x:v>
      </x:c>
      <x:c r="P245" s="9" t="str">
        <x:v>普通男女装</x:v>
      </x:c>
      <x:c r="Q245" s="9" t="str">
        <x:v>W_SKIRTS_AVGPAID_1500_1600_ANNUAL2026.xlsx</x:v>
      </x:c>
      <x:c r="R245" s="9" t="str">
        <x:v>默认</x:v>
      </x:c>
      <x:c r="S245" s="9" t="n">
        <x:v>51</x:v>
      </x:c>
      <x:c r="T245" s="9" t="str">
        <x:v>deede8b56943df4f914be45dba170f12e69064023d6ef0e88dbde1764f6ba23e</x:v>
      </x:c>
      <x:c r="U245" s="9" t="str">
        <x:v>W_SKIRTS_AVGPAID_1500_1600_ANNUAL2026</x:v>
      </x:c>
      <x:c r="V245" s="9" t="str">
        <x:v>W_SKIRTS_AVGPAID_1500_1600_ANNUAL2026.xlsx / 默认 / 第51行 / SHA256 deede8b56943df4f914be45dba170f12e69064023d6ef0e88dbde1764f6ba23e</x:v>
      </x:c>
    </x:row>
    <x:row r="246" ht="58" customHeight="1">
      <x:c r="A246" s="23" t="str">
        <x:v>1068721574203</x:v>
      </x:c>
      <x:c r="B246" s="22"/>
      <x:c r="C246" s="22"/>
      <x:c r="D246" s="22"/>
      <x:c r="E246" s="9" t="str">
        <x:v>裙长未明确</x:v>
      </x:c>
      <x:c r="F246" s="9" t="str">
        <x:v>裙装</x:v>
      </x:c>
      <x:c r="G246" s="9" t="str">
        <x:v>半身裙</x:v>
      </x:c>
      <x:c r="H246" s="9" t="str">
        <x:v>女</x:v>
      </x:c>
      <x:c r="I246" s="9" t="str">
        <x:v>UNION 官方授权 DEEPMOSS 26秋冬 浮沙时刻芭蕾半裙</x:v>
      </x:c>
      <x:c r="J246" s="9" t="str">
        <x:v>DEEPMOSS</x:v>
      </x:c>
      <x:c r="K246" s="24" t="n">
        <x:v>1377.53</x:v>
      </x:c>
      <x:c r="L246" s="25" t="e">
        <x:f>HYPERLINK("https://item.taobao.com/item.htm?id=1068721574203","打开商品")</x:f>
        <x:v>HYPERLINK is not implemented. linkLocation=https://item.taobao.com/item.htm?id=1068721574203, friendlyName=打开商品</x:v>
      </x:c>
      <x:c r="M246" s="25" t="e">
        <x:f>HYPERLINK("https://data.zhiyitech.cn/itemDetail/overview/base?itemId=1068721574203","打开知衣")</x:f>
        <x:v>HYPERLINK is not implemented. linkLocation=https://data.zhiyitech.cn/itemDetail/overview/base?itemId=1068721574203, friendlyName=打开知衣</x:v>
      </x:c>
      <x:c r="N246" s="25" t="e">
        <x:f>HYPERLINK("https://img.alicdn.com/bao/uploaded/i1/2207478008166/O1CN01KLqtEbHTsAH2vH2e_!!4611686018427382118-0-item_pic.jpg","查看主图")</x:f>
        <x:v>HYPERLINK is not implemented. linkLocation=https://img.alicdn.com/bao/uploaded/i1/2207478008166/O1CN01KLqtEbHTsAH2vH2e_!!4611686018427382118-0-item_pic.jpg, friendlyName=查看主图</x:v>
      </x:c>
      <x:c r="O246" s="9" t="str">
        <x:v>标题及既有类目语义复核；UNION 官方授权 DEEPMOSS 26秋冬 浮沙时刻芭蕾半裙；原类目及标题已能确认半身裙；展示使用已知大类，未知裙长下沉到结构字段，不强猜长短。</x:v>
      </x:c>
      <x:c r="P246" s="9" t="str">
        <x:v>普通男女装</x:v>
      </x:c>
      <x:c r="Q246" s="9" t="str">
        <x:v>W_SKIRTS_AVGPAID_1300_1400_ANNUAL2026.xlsx</x:v>
      </x:c>
      <x:c r="R246" s="9" t="str">
        <x:v>默认</x:v>
      </x:c>
      <x:c r="S246" s="9" t="n">
        <x:v>97</x:v>
      </x:c>
      <x:c r="T246" s="9" t="str">
        <x:v>bd4dae1e08e9eca7ddd0669235bf59107cdc418b9c2898fc16f36a7ab5748692</x:v>
      </x:c>
      <x:c r="U246" s="9" t="str">
        <x:v>W_SKIRTS_AVGPAID_1300_1400_ANNUAL2026</x:v>
      </x:c>
      <x:c r="V246" s="9" t="str">
        <x:v>W_SKIRTS_AVGPAID_1300_1400_ANNUAL2026.xlsx / 默认 / 第97行 / SHA256 bd4dae1e08e9eca7ddd0669235bf59107cdc418b9c2898fc16f36a7ab5748692</x:v>
      </x:c>
    </x:row>
    <x:row r="247" ht="58" customHeight="1">
      <x:c r="A247" s="23" t="str">
        <x:v>1069396226826</x:v>
      </x:c>
      <x:c r="B247" s="22"/>
      <x:c r="C247" s="22"/>
      <x:c r="D247" s="22"/>
      <x:c r="E247" s="9" t="str">
        <x:v>裙长未明确</x:v>
      </x:c>
      <x:c r="F247" s="9" t="str">
        <x:v>裙装</x:v>
      </x:c>
      <x:c r="G247" s="9" t="str">
        <x:v>半身裙</x:v>
      </x:c>
      <x:c r="H247" s="9" t="str">
        <x:v>女</x:v>
      </x:c>
      <x:c r="I247" s="9" t="str">
        <x:v>【deepmoss】hug 2026秋新松间浮沙时刻芭蕾半裙</x:v>
      </x:c>
      <x:c r="J247" s="9" t="str">
        <x:v>DEEPMOSS</x:v>
      </x:c>
      <x:c r="K247" s="24" t="n">
        <x:v>1518.35</x:v>
      </x:c>
      <x:c r="L247" s="25" t="e">
        <x:f>HYPERLINK("https://item.taobao.com/item.htm?id=1069396226826","打开商品")</x:f>
        <x:v>HYPERLINK is not implemented. linkLocation=https://item.taobao.com/item.htm?id=1069396226826, friendlyName=打开商品</x:v>
      </x:c>
      <x:c r="M247" s="25" t="e">
        <x:f>HYPERLINK("https://data.zhiyitech.cn/itemDetail/overview/base?itemId=1069396226826","打开知衣")</x:f>
        <x:v>HYPERLINK is not implemented. linkLocation=https://data.zhiyitech.cn/itemDetail/overview/base?itemId=1069396226826, friendlyName=打开知衣</x:v>
      </x:c>
      <x:c r="N247" s="25" t="e">
        <x:f>HYPERLINK("https://img.alicdn.com/bao/uploaded/i3/2207642645793/O1CN0177nCl5U2vJD2vH2e_!!2207642645793.jpg","查看主图")</x:f>
        <x:v>HYPERLINK is not implemented. linkLocation=https://img.alicdn.com/bao/uploaded/i3/2207642645793/O1CN0177nCl5U2vJD2vH2e_!!2207642645793.jpg, friendlyName=查看主图</x:v>
      </x:c>
      <x:c r="O247" s="9" t="str">
        <x:v>标题及既有类目语义复核；【deepmoss】hug 2026秋新松间浮沙时刻芭蕾半裙；原类目及标题已能确认半身裙；展示使用已知大类，未知裙长下沉到结构字段，不强猜长短。</x:v>
      </x:c>
      <x:c r="P247" s="9" t="str">
        <x:v>普通男女装</x:v>
      </x:c>
      <x:c r="Q247" s="9" t="str">
        <x:v>W_SKIRTS_AVGPAID_1500_1600_ANNUAL2026.xlsx</x:v>
      </x:c>
      <x:c r="R247" s="9" t="str">
        <x:v>默认</x:v>
      </x:c>
      <x:c r="S247" s="9" t="n">
        <x:v>295</x:v>
      </x:c>
      <x:c r="T247" s="9" t="str">
        <x:v>deede8b56943df4f914be45dba170f12e69064023d6ef0e88dbde1764f6ba23e</x:v>
      </x:c>
      <x:c r="U247" s="9" t="str">
        <x:v>W_SKIRTS_AVGPAID_1500_1600_ANNUAL2026</x:v>
      </x:c>
      <x:c r="V247" s="9" t="str">
        <x:v>W_SKIRTS_AVGPAID_1500_1600_ANNUAL2026.xlsx / 默认 / 第295行 / SHA256 deede8b56943df4f914be45dba170f12e69064023d6ef0e88dbde1764f6ba23e</x:v>
      </x:c>
    </x:row>
    <x:row r="248" ht="58" customHeight="1">
      <x:c r="A248" s="23" t="str">
        <x:v>1074378559552</x:v>
      </x:c>
      <x:c r="B248" s="22"/>
      <x:c r="C248" s="22"/>
      <x:c r="D248" s="22"/>
      <x:c r="E248" s="9" t="str">
        <x:v>裙长未明确</x:v>
      </x:c>
      <x:c r="F248" s="9" t="str">
        <x:v>裙装</x:v>
      </x:c>
      <x:c r="G248" s="9" t="str">
        <x:v>半身裙</x:v>
      </x:c>
      <x:c r="H248" s="9" t="str">
        <x:v>女</x:v>
      </x:c>
      <x:c r="I248" s="9" t="str">
        <x:v>【deepmoss】2026秋冬新款栗绒几何拼接半裙</x:v>
      </x:c>
      <x:c r="J248" s="9" t="str">
        <x:v>DEEPMOSS</x:v>
      </x:c>
      <x:c r="K248" s="24" t="n">
        <x:v>1718.45</x:v>
      </x:c>
      <x:c r="L248" s="25" t="e">
        <x:f>HYPERLINK("https://item.taobao.com/item.htm?id=1074378559552","打开商品")</x:f>
        <x:v>HYPERLINK is not implemented. linkLocation=https://item.taobao.com/item.htm?id=1074378559552, friendlyName=打开商品</x:v>
      </x:c>
      <x:c r="M248" s="25" t="e">
        <x:f>HYPERLINK("https://data.zhiyitech.cn/itemDetail/overview/base?itemId=1074378559552","打开知衣")</x:f>
        <x:v>HYPERLINK is not implemented. linkLocation=https://data.zhiyitech.cn/itemDetail/overview/base?itemId=1074378559552, friendlyName=打开知衣</x:v>
      </x:c>
      <x:c r="N248" s="25" t="e">
        <x:f>HYPERLINK("https://img.alicdn.com/bao/uploaded/i2/2201231358306/O1CN01J7CJLE0jFMJ1chua_!!4611686018427386210-0-item_pic.jpg","查看主图")</x:f>
        <x:v>HYPERLINK is not implemented. linkLocation=https://img.alicdn.com/bao/uploaded/i2/2201231358306/O1CN01J7CJLE0jFMJ1chua_!!4611686018427386210-0-item_pic.jpg, friendlyName=查看主图</x:v>
      </x:c>
      <x:c r="O248" s="9" t="str">
        <x:v>标题及既有类目语义复核；【deepmoss】2026秋冬新款栗绒几何拼接半裙；原类目及标题已能确认半身裙；展示使用已知大类，未知裙长下沉到结构字段，不强猜长短。</x:v>
      </x:c>
      <x:c r="P248" s="9" t="str">
        <x:v>普通男女装</x:v>
      </x:c>
      <x:c r="Q248" s="9" t="str">
        <x:v>W_SKIRTS_AVGPAID_1700_1800_ANNUAL2026.xlsx</x:v>
      </x:c>
      <x:c r="R248" s="9" t="str">
        <x:v>默认</x:v>
      </x:c>
      <x:c r="S248" s="9" t="n">
        <x:v>95</x:v>
      </x:c>
      <x:c r="T248" s="9" t="str">
        <x:v>c25ed77c53c7c5cfcf728778a0e9b297d8689503f62756a939cbd534ca9b587a</x:v>
      </x:c>
      <x:c r="U248" s="9" t="str">
        <x:v>W_SKIRTS_AVGPAID_1700_1800_ANNUAL2026</x:v>
      </x:c>
      <x:c r="V248" s="9" t="str">
        <x:v>W_SKIRTS_AVGPAID_1700_1800_ANNUAL2026.xlsx / 默认 / 第95行 / SHA256 c25ed77c53c7c5cfcf728778a0e9b297d8689503f62756a939cbd534ca9b587a</x:v>
      </x:c>
    </x:row>
    <x:row r="249" ht="58" customHeight="1">
      <x:c r="A249" s="23" t="str">
        <x:v>1076854874073</x:v>
      </x:c>
      <x:c r="B249" s="22"/>
      <x:c r="C249" s="22"/>
      <x:c r="D249" s="22"/>
      <x:c r="E249" s="9" t="str">
        <x:v>裙长未明确</x:v>
      </x:c>
      <x:c r="F249" s="9" t="str">
        <x:v>裙装</x:v>
      </x:c>
      <x:c r="G249" s="9" t="str">
        <x:v>半身裙</x:v>
      </x:c>
      <x:c r="H249" s="9" t="str">
        <x:v>女</x:v>
      </x:c>
      <x:c r="I249" s="9" t="str">
        <x:v>【现货】deepmoss休闲百搭油栗几何拼接半裙高级感女26早秋MISSAS</x:v>
      </x:c>
      <x:c r="J249" s="9" t="str">
        <x:v>DEEPMOSS</x:v>
      </x:c>
      <x:c r="K249" s="24" t="n">
        <x:v>1561.03</x:v>
      </x:c>
      <x:c r="L249" s="25" t="e">
        <x:f>HYPERLINK("https://item.taobao.com/item.htm?id=1076854874073","打开商品")</x:f>
        <x:v>HYPERLINK is not implemented. linkLocation=https://item.taobao.com/item.htm?id=1076854874073, friendlyName=打开商品</x:v>
      </x:c>
      <x:c r="M249" s="25" t="e">
        <x:f>HYPERLINK("https://data.zhiyitech.cn/itemDetail/overview/base?itemId=1076854874073","打开知衣")</x:f>
        <x:v>HYPERLINK is not implemented. linkLocation=https://data.zhiyitech.cn/itemDetail/overview/base?itemId=1076854874073, friendlyName=打开知衣</x:v>
      </x:c>
      <x:c r="N249" s="25" t="e">
        <x:f>HYPERLINK("https://img.alicdn.com/bao/uploaded/i1/408775579/O1CN01XrxdNtSi1jL2vH2e_!!408775579.jpg","查看主图")</x:f>
        <x:v>HYPERLINK is not implemented. linkLocation=https://img.alicdn.com/bao/uploaded/i1/408775579/O1CN01XrxdNtSi1jL2vH2e_!!408775579.jpg, friendlyName=查看主图</x:v>
      </x:c>
      <x:c r="O249" s="9" t="str">
        <x:v>标题及既有类目语义复核；【现货】deepmoss休闲百搭油栗几何拼接半裙高级感女26早秋MISSAS；原类目及标题已能确认半身裙；展示使用已知大类，未知裙长下沉到结构字段，不强猜长短。</x:v>
      </x:c>
      <x:c r="P249" s="9" t="str">
        <x:v>普通男女装</x:v>
      </x:c>
      <x:c r="Q249" s="9" t="str">
        <x:v>W_SKIRTS_AVGPAID_1500_1600_ANNUAL2026.xlsx</x:v>
      </x:c>
      <x:c r="R249" s="9" t="str">
        <x:v>默认</x:v>
      </x:c>
      <x:c r="S249" s="9" t="n">
        <x:v>315</x:v>
      </x:c>
      <x:c r="T249" s="9" t="str">
        <x:v>deede8b56943df4f914be45dba170f12e69064023d6ef0e88dbde1764f6ba23e</x:v>
      </x:c>
      <x:c r="U249" s="9" t="str">
        <x:v>W_SKIRTS_AVGPAID_1500_1600_ANNUAL2026</x:v>
      </x:c>
      <x:c r="V249" s="9" t="str">
        <x:v>W_SKIRTS_AVGPAID_1500_1600_ANNUAL2026.xlsx / 默认 / 第315行 / SHA256 deede8b56943df4f914be45dba170f12e69064023d6ef0e88dbde1764f6ba23e</x:v>
      </x:c>
    </x:row>
    <x:row r="250" ht="58" customHeight="1">
      <x:c r="A250" s="23" t="str">
        <x:v>778172457594</x:v>
      </x:c>
      <x:c r="B250" s="22"/>
      <x:c r="C250" s="22"/>
      <x:c r="D250" s="22"/>
      <x:c r="E250" s="9" t="str">
        <x:v>裙长未明确</x:v>
      </x:c>
      <x:c r="F250" s="9" t="str">
        <x:v>裙装</x:v>
      </x:c>
      <x:c r="G250" s="9" t="str">
        <x:v>半身裙</x:v>
      </x:c>
      <x:c r="H250" s="9" t="str">
        <x:v>女</x:v>
      </x:c>
      <x:c r="I250" s="9" t="str">
        <x:v>deepmoss拼接牛仔半身裙</x:v>
      </x:c>
      <x:c r="J250" s="9" t="str">
        <x:v>DEEPMOSS</x:v>
      </x:c>
      <x:c r="K250" s="24" t="n">
        <x:v>1739.5</x:v>
      </x:c>
      <x:c r="L250" s="25" t="e">
        <x:f>HYPERLINK("https://item.taobao.com/item.htm?id=778172457594","打开商品")</x:f>
        <x:v>HYPERLINK is not implemented. linkLocation=https://item.taobao.com/item.htm?id=778172457594, friendlyName=打开商品</x:v>
      </x:c>
      <x:c r="M250" s="25" t="e">
        <x:f>HYPERLINK("https://data.zhiyitech.cn/itemDetail/overview/base?itemId=778172457594","打开知衣")</x:f>
        <x:v>HYPERLINK is not implemented. linkLocation=https://data.zhiyitech.cn/itemDetail/overview/base?itemId=778172457594, friendlyName=打开知衣</x:v>
      </x:c>
      <x:c r="N250" s="25" t="e">
        <x:f>HYPERLINK("https://img.alicdn.com/bao/uploaded/i2/2201231358306/O1CN01NROPgl2BECfHIuh2Z_!!0-item_pic.jpg","查看主图")</x:f>
        <x:v>HYPERLINK is not implemented. linkLocation=https://img.alicdn.com/bao/uploaded/i2/2201231358306/O1CN01NROPgl2BECfHIuh2Z_!!0-item_pic.jpg, friendlyName=查看主图</x:v>
      </x:c>
      <x:c r="O250" s="9" t="str">
        <x:v>标题及既有类目语义复核；deepmoss拼接牛仔半身裙；原类目及标题已能确认半身裙；展示使用已知大类，未知裙长下沉到结构字段，不强猜长短。</x:v>
      </x:c>
      <x:c r="P250" s="9" t="str">
        <x:v>普通男女装</x:v>
      </x:c>
      <x:c r="Q250" s="9" t="str">
        <x:v>W_SKIRTS_AVGPAID_1700_1800_ANNUAL2026.xlsx</x:v>
      </x:c>
      <x:c r="R250" s="9" t="str">
        <x:v>默认</x:v>
      </x:c>
      <x:c r="S250" s="9" t="n">
        <x:v>388</x:v>
      </x:c>
      <x:c r="T250" s="9" t="str">
        <x:v>c25ed77c53c7c5cfcf728778a0e9b297d8689503f62756a939cbd534ca9b587a</x:v>
      </x:c>
      <x:c r="U250" s="9" t="str">
        <x:v>W_SKIRTS_AVGPAID_1700_1800_ANNUAL2026</x:v>
      </x:c>
      <x:c r="V250" s="9" t="str">
        <x:v>W_SKIRTS_AVGPAID_1700_1800_ANNUAL2026.xlsx / 默认 / 第388行 / SHA256 c25ed77c53c7c5cfcf728778a0e9b297d8689503f62756a939cbd534ca9b587a</x:v>
      </x:c>
    </x:row>
    <x:row r="251" ht="58" customHeight="1">
      <x:c r="A251" s="23" t="str">
        <x:v>764721540646</x:v>
      </x:c>
      <x:c r="B251" s="22"/>
      <x:c r="C251" s="22"/>
      <x:c r="D251" s="22"/>
      <x:c r="E251" s="9" t="str">
        <x:v>裙长未明确</x:v>
      </x:c>
      <x:c r="F251" s="9" t="str">
        <x:v>裙装</x:v>
      </x:c>
      <x:c r="G251" s="9" t="str">
        <x:v>半身裙</x:v>
      </x:c>
      <x:c r="H251" s="9" t="str">
        <x:v>女</x:v>
      </x:c>
      <x:c r="I251" s="9" t="str">
        <x:v>[哑光针织]DVF曜石黑包臀裙中高腰优雅侧开叉设轻薄半裙KM1S004</x:v>
      </x:c>
      <x:c r="J251" s="9" t="str">
        <x:v>DIANE VON FURSTENBERG</x:v>
      </x:c>
      <x:c r="K251" s="24" t="n">
        <x:v>1520.52</x:v>
      </x:c>
      <x:c r="L251" s="25" t="e">
        <x:f>HYPERLINK("https://item.taobao.com/item.htm?id=764721540646","打开商品")</x:f>
        <x:v>HYPERLINK is not implemented. linkLocation=https://item.taobao.com/item.htm?id=764721540646, friendlyName=打开商品</x:v>
      </x:c>
      <x:c r="M251" s="25" t="e">
        <x:f>HYPERLINK("https://data.zhiyitech.cn/itemDetail/overview/base?itemId=764721540646","打开知衣")</x:f>
        <x:v>HYPERLINK is not implemented. linkLocation=https://data.zhiyitech.cn/itemDetail/overview/base?itemId=764721540646, friendlyName=打开知衣</x:v>
      </x:c>
      <x:c r="N251" s="25" t="e">
        <x:f>HYPERLINK("https://img.alicdn.com/bao/uploaded/i3/2206472314998/O1CN01Dn9qxZmSgfF43lmS_!!4611686018427379830-0-item_pic.jpg","查看主图")</x:f>
        <x:v>HYPERLINK is not implemented. linkLocation=https://img.alicdn.com/bao/uploaded/i3/2206472314998/O1CN01Dn9qxZmSgfF43lmS_!!4611686018427379830-0-item_pic.jpg, friendlyName=查看主图</x:v>
      </x:c>
      <x:c r="O251" s="9" t="str">
        <x:v>标题及既有类目语义复核；[哑光针织]DVF曜石黑包臀裙中高腰优雅侧开叉设轻薄半裙KM1S004；原类目及标题已能确认半身裙；展示使用已知大类，未知裙长下沉到结构字段，不强猜长短。</x:v>
      </x:c>
      <x:c r="P251" s="9" t="str">
        <x:v>普通男女装</x:v>
      </x:c>
      <x:c r="Q251" s="9" t="str">
        <x:v>W_SKIRTS_AVGPAID_1500_1600_ANNUAL2026.xlsx</x:v>
      </x:c>
      <x:c r="R251" s="9" t="str">
        <x:v>默认</x:v>
      </x:c>
      <x:c r="S251" s="9" t="n">
        <x:v>471</x:v>
      </x:c>
      <x:c r="T251" s="9" t="str">
        <x:v>deede8b56943df4f914be45dba170f12e69064023d6ef0e88dbde1764f6ba23e</x:v>
      </x:c>
      <x:c r="U251" s="9" t="str">
        <x:v>W_SKIRTS_AVGPAID_1500_1600_ANNUAL2026</x:v>
      </x:c>
      <x:c r="V251" s="9" t="str">
        <x:v>W_SKIRTS_AVGPAID_1500_1600_ANNUAL2026.xlsx / 默认 / 第471行 / SHA256 deede8b56943df4f914be45dba170f12e69064023d6ef0e88dbde1764f6ba23e</x:v>
      </x:c>
    </x:row>
    <x:row r="252" ht="58" customHeight="1">
      <x:c r="A252" s="23" t="str">
        <x:v>764721700313</x:v>
      </x:c>
      <x:c r="B252" s="22"/>
      <x:c r="C252" s="22"/>
      <x:c r="D252" s="22"/>
      <x:c r="E252" s="9" t="str">
        <x:v>裙长未明确</x:v>
      </x:c>
      <x:c r="F252" s="9" t="str">
        <x:v>裙装</x:v>
      </x:c>
      <x:c r="G252" s="9" t="str">
        <x:v>半身裙</x:v>
      </x:c>
      <x:c r="H252" s="9" t="str">
        <x:v>女</x:v>
      </x:c>
      <x:c r="I252" s="9" t="str">
        <x:v>DVF石墨黄云雾斑马纹半裙</x:v>
      </x:c>
      <x:c r="J252" s="9" t="str">
        <x:v>DIANE VON FURSTENBERG</x:v>
      </x:c>
      <x:c r="K252" s="24" t="n">
        <x:v>1393.49</x:v>
      </x:c>
      <x:c r="L252" s="25" t="e">
        <x:f>HYPERLINK("https://item.taobao.com/item.htm?id=764721700313","打开商品")</x:f>
        <x:v>HYPERLINK is not implemented. linkLocation=https://item.taobao.com/item.htm?id=764721700313, friendlyName=打开商品</x:v>
      </x:c>
      <x:c r="M252" s="25" t="e">
        <x:f>HYPERLINK("https://data.zhiyitech.cn/itemDetail/overview/base?itemId=764721700313","打开知衣")</x:f>
        <x:v>HYPERLINK is not implemented. linkLocation=https://data.zhiyitech.cn/itemDetail/overview/base?itemId=764721700313, friendlyName=打开知衣</x:v>
      </x:c>
      <x:c r="N252" s="25" t="e">
        <x:f>HYPERLINK("https://img.alicdn.com/bao/uploaded/i4/2206472314998/O1CN01ieTLjpI4yFE43lmS-2206472314998.jpg","查看主图")</x:f>
        <x:v>HYPERLINK is not implemented. linkLocation=https://img.alicdn.com/bao/uploaded/i4/2206472314998/O1CN01ieTLjpI4yFE43lmS-2206472314998.jpg, friendlyName=查看主图</x:v>
      </x:c>
      <x:c r="O252" s="9" t="str">
        <x:v>标题及既有类目语义复核；DVF石墨黄云雾斑马纹半裙；原类目及标题已能确认半身裙；展示使用已知大类，未知裙长下沉到结构字段，不强猜长短。</x:v>
      </x:c>
      <x:c r="P252" s="9" t="str">
        <x:v>普通男女装</x:v>
      </x:c>
      <x:c r="Q252" s="9" t="str">
        <x:v>W_SKIRTS_AVGPAID_1300_1400_ANNUAL2026.xlsx</x:v>
      </x:c>
      <x:c r="R252" s="9" t="str">
        <x:v>默认</x:v>
      </x:c>
      <x:c r="S252" s="9" t="n">
        <x:v>325</x:v>
      </x:c>
      <x:c r="T252" s="9" t="str">
        <x:v>bd4dae1e08e9eca7ddd0669235bf59107cdc418b9c2898fc16f36a7ab5748692</x:v>
      </x:c>
      <x:c r="U252" s="9" t="str">
        <x:v>W_SKIRTS_AVGPAID_1300_1400_ANNUAL2026</x:v>
      </x:c>
      <x:c r="V252" s="9" t="str">
        <x:v>W_SKIRTS_AVGPAID_1300_1400_ANNUAL2026.xlsx / 默认 / 第325行 / SHA256 bd4dae1e08e9eca7ddd0669235bf59107cdc418b9c2898fc16f36a7ab5748692</x:v>
      </x:c>
    </x:row>
    <x:row r="253" ht="58" customHeight="1">
      <x:c r="A253" s="23" t="str">
        <x:v>764763446775</x:v>
      </x:c>
      <x:c r="B253" s="22"/>
      <x:c r="C253" s="22"/>
      <x:c r="D253" s="22"/>
      <x:c r="E253" s="9" t="str">
        <x:v>裙长未明确</x:v>
      </x:c>
      <x:c r="F253" s="9" t="str">
        <x:v>裙装</x:v>
      </x:c>
      <x:c r="G253" s="9" t="str">
        <x:v>半身裙</x:v>
      </x:c>
      <x:c r="H253" s="9" t="str">
        <x:v>女</x:v>
      </x:c>
      <x:c r="I253" s="9" t="str">
        <x:v>[双面穿]DVF双面印花碎花裙轻薄松紧腰半裙KM1S006</x:v>
      </x:c>
      <x:c r="J253" s="9" t="str">
        <x:v>DIANE VON FURSTENBERG</x:v>
      </x:c>
      <x:c r="K253" s="24" t="n">
        <x:v>1746.69</x:v>
      </x:c>
      <x:c r="L253" s="25" t="e">
        <x:f>HYPERLINK("https://item.taobao.com/item.htm?id=764763446775","打开商品")</x:f>
        <x:v>HYPERLINK is not implemented. linkLocation=https://item.taobao.com/item.htm?id=764763446775, friendlyName=打开商品</x:v>
      </x:c>
      <x:c r="M253" s="25" t="e">
        <x:f>HYPERLINK("https://data.zhiyitech.cn/itemDetail/overview/base?itemId=764763446775","打开知衣")</x:f>
        <x:v>HYPERLINK is not implemented. linkLocation=https://data.zhiyitech.cn/itemDetail/overview/base?itemId=764763446775, friendlyName=打开知衣</x:v>
      </x:c>
      <x:c r="N253" s="25" t="e">
        <x:f>HYPERLINK("https://img.alicdn.com/bao/uploaded/i3/2206472314998/O1CN01BDw1RDxprAC43lmS_!!4611686018427379830-0-item_pic.jpg","查看主图")</x:f>
        <x:v>HYPERLINK is not implemented. linkLocation=https://img.alicdn.com/bao/uploaded/i3/2206472314998/O1CN01BDw1RDxprAC43lmS_!!4611686018427379830-0-item_pic.jpg, friendlyName=查看主图</x:v>
      </x:c>
      <x:c r="O253" s="9" t="str">
        <x:v>标题及既有类目语义复核；[双面穿]DVF双面印花碎花裙轻薄松紧腰半裙KM1S006；原类目及标题已能确认半身裙；展示使用已知大类，未知裙长下沉到结构字段，不强猜长短。</x:v>
      </x:c>
      <x:c r="P253" s="9" t="str">
        <x:v>普通男女装</x:v>
      </x:c>
      <x:c r="Q253" s="9" t="str">
        <x:v>W_SKIRTS_AVGPAID_1700_1800_ANNUAL2026.xlsx</x:v>
      </x:c>
      <x:c r="R253" s="9" t="str">
        <x:v>默认</x:v>
      </x:c>
      <x:c r="S253" s="9" t="n">
        <x:v>266</x:v>
      </x:c>
      <x:c r="T253" s="9" t="str">
        <x:v>c25ed77c53c7c5cfcf728778a0e9b297d8689503f62756a939cbd534ca9b587a</x:v>
      </x:c>
      <x:c r="U253" s="9" t="str">
        <x:v>W_SKIRTS_AVGPAID_1700_1800_ANNUAL2026</x:v>
      </x:c>
      <x:c r="V253" s="9" t="str">
        <x:v>W_SKIRTS_AVGPAID_1700_1800_ANNUAL2026.xlsx / 默认 / 第266行 / SHA256 c25ed77c53c7c5cfcf728778a0e9b297d8689503f62756a939cbd534ca9b587a</x:v>
      </x:c>
    </x:row>
    <x:row r="254" ht="58" customHeight="1">
      <x:c r="A254" s="23" t="str">
        <x:v>764780707187</x:v>
      </x:c>
      <x:c r="B254" s="22"/>
      <x:c r="C254" s="22"/>
      <x:c r="D254" s="22"/>
      <x:c r="E254" s="9" t="str">
        <x:v>裙长未明确</x:v>
      </x:c>
      <x:c r="F254" s="9" t="str">
        <x:v>裙装</x:v>
      </x:c>
      <x:c r="G254" s="9" t="str">
        <x:v>半身裙</x:v>
      </x:c>
      <x:c r="H254" s="9" t="str">
        <x:v>女</x:v>
      </x:c>
      <x:c r="I254" s="9" t="str">
        <x:v>DVF清晨蓝大地花卉半裙</x:v>
      </x:c>
      <x:c r="J254" s="9" t="str">
        <x:v>DIANE VON FURSTENBERG</x:v>
      </x:c>
      <x:c r="K254" s="24" t="n">
        <x:v>1596.33</x:v>
      </x:c>
      <x:c r="L254" s="25" t="e">
        <x:f>HYPERLINK("https://item.taobao.com/item.htm?id=764780707187","打开商品")</x:f>
        <x:v>HYPERLINK is not implemented. linkLocation=https://item.taobao.com/item.htm?id=764780707187, friendlyName=打开商品</x:v>
      </x:c>
      <x:c r="M254" s="25" t="e">
        <x:f>HYPERLINK("https://data.zhiyitech.cn/itemDetail/overview/base?itemId=764780707187","打开知衣")</x:f>
        <x:v>HYPERLINK is not implemented. linkLocation=https://data.zhiyitech.cn/itemDetail/overview/base?itemId=764780707187, friendlyName=打开知衣</x:v>
      </x:c>
      <x:c r="N254" s="25" t="e">
        <x:f>HYPERLINK("https://img.alicdn.com/bao/uploaded/i3/2206472314998/O1CN01IoN9BeHBZ4D1chua-2206472314998.jpg","查看主图")</x:f>
        <x:v>HYPERLINK is not implemented. linkLocation=https://img.alicdn.com/bao/uploaded/i3/2206472314998/O1CN01IoN9BeHBZ4D1chua-2206472314998.jpg, friendlyName=查看主图</x:v>
      </x:c>
      <x:c r="O254" s="9" t="str">
        <x:v>标题及既有类目语义复核；DVF清晨蓝大地花卉半裙；原类目及标题已能确认半身裙；展示使用已知大类，未知裙长下沉到结构字段，不强猜长短。</x:v>
      </x:c>
      <x:c r="P254" s="9" t="str">
        <x:v>普通男女装</x:v>
      </x:c>
      <x:c r="Q254" s="9" t="str">
        <x:v>W_SKIRTS_AVGPAID_1500_1600_ANNUAL2026.xlsx</x:v>
      </x:c>
      <x:c r="R254" s="9" t="str">
        <x:v>默认</x:v>
      </x:c>
      <x:c r="S254" s="9" t="n">
        <x:v>456</x:v>
      </x:c>
      <x:c r="T254" s="9" t="str">
        <x:v>deede8b56943df4f914be45dba170f12e69064023d6ef0e88dbde1764f6ba23e</x:v>
      </x:c>
      <x:c r="U254" s="9" t="str">
        <x:v>W_SKIRTS_AVGPAID_1500_1600_ANNUAL2026</x:v>
      </x:c>
      <x:c r="V254" s="9" t="str">
        <x:v>W_SKIRTS_AVGPAID_1500_1600_ANNUAL2026.xlsx / 默认 / 第456行 / SHA256 deede8b56943df4f914be45dba170f12e69064023d6ef0e88dbde1764f6ba23e</x:v>
      </x:c>
    </x:row>
    <x:row r="255" ht="58" customHeight="1">
      <x:c r="A255" s="23" t="str">
        <x:v>764851279777</x:v>
      </x:c>
      <x:c r="B255" s="22"/>
      <x:c r="C255" s="22"/>
      <x:c r="D255" s="22"/>
      <x:c r="E255" s="9" t="str">
        <x:v>裙长未明确</x:v>
      </x:c>
      <x:c r="F255" s="9" t="str">
        <x:v>裙装</x:v>
      </x:c>
      <x:c r="G255" s="9" t="str">
        <x:v>半身裙</x:v>
      </x:c>
      <x:c r="H255" s="9" t="str">
        <x:v>女</x:v>
      </x:c>
      <x:c r="I255" s="9" t="str">
        <x:v>DVF清晨蓝针织提花半身裙</x:v>
      </x:c>
      <x:c r="J255" s="9" t="str">
        <x:v>DIANE VON FURSTENBERG</x:v>
      </x:c>
      <x:c r="K255" s="24" t="n">
        <x:v>1597.79</x:v>
      </x:c>
      <x:c r="L255" s="25" t="e">
        <x:f>HYPERLINK("https://item.taobao.com/item.htm?id=764851279777","打开商品")</x:f>
        <x:v>HYPERLINK is not implemented. linkLocation=https://item.taobao.com/item.htm?id=764851279777, friendlyName=打开商品</x:v>
      </x:c>
      <x:c r="M255" s="25" t="e">
        <x:f>HYPERLINK("https://data.zhiyitech.cn/itemDetail/overview/base?itemId=764851279777","打开知衣")</x:f>
        <x:v>HYPERLINK is not implemented. linkLocation=https://data.zhiyitech.cn/itemDetail/overview/base?itemId=764851279777, friendlyName=打开知衣</x:v>
      </x:c>
      <x:c r="N255" s="25" t="e">
        <x:f>HYPERLINK("https://img.alicdn.com/bao/uploaded/i2/2206472314998/O1CN01vds73SgN5sL43lmS-2206472314998.jpg","查看主图")</x:f>
        <x:v>HYPERLINK is not implemented. linkLocation=https://img.alicdn.com/bao/uploaded/i2/2206472314998/O1CN01vds73SgN5sL43lmS-2206472314998.jpg, friendlyName=查看主图</x:v>
      </x:c>
      <x:c r="O255" s="9" t="str">
        <x:v>标题及既有类目语义复核；DVF清晨蓝针织提花半身裙；原类目及标题已能确认半身裙；展示使用已知大类，未知裙长下沉到结构字段，不强猜长短。</x:v>
      </x:c>
      <x:c r="P255" s="9" t="str">
        <x:v>普通男女装</x:v>
      </x:c>
      <x:c r="Q255" s="9" t="str">
        <x:v>W_SKIRTS_AVGPAID_1500_1600_ANNUAL2026.xlsx</x:v>
      </x:c>
      <x:c r="R255" s="9" t="str">
        <x:v>默认</x:v>
      </x:c>
      <x:c r="S255" s="9" t="n">
        <x:v>140</x:v>
      </x:c>
      <x:c r="T255" s="9" t="str">
        <x:v>deede8b56943df4f914be45dba170f12e69064023d6ef0e88dbde1764f6ba23e</x:v>
      </x:c>
      <x:c r="U255" s="9" t="str">
        <x:v>W_SKIRTS_AVGPAID_1500_1600_ANNUAL2026</x:v>
      </x:c>
      <x:c r="V255" s="9" t="str">
        <x:v>W_SKIRTS_AVGPAID_1500_1600_ANNUAL2026.xlsx / 默认 / 第140行 / SHA256 deede8b56943df4f914be45dba170f12e69064023d6ef0e88dbde1764f6ba23e</x:v>
      </x:c>
    </x:row>
    <x:row r="256" ht="58" customHeight="1">
      <x:c r="A256" s="23" t="str">
        <x:v>779628677816</x:v>
      </x:c>
      <x:c r="B256" s="22"/>
      <x:c r="C256" s="22"/>
      <x:c r="D256" s="22"/>
      <x:c r="E256" s="9" t="str">
        <x:v>裙长未明确</x:v>
      </x:c>
      <x:c r="F256" s="9" t="str">
        <x:v>裙装</x:v>
      </x:c>
      <x:c r="G256" s="9" t="str">
        <x:v>半身裙</x:v>
      </x:c>
      <x:c r="H256" s="9" t="str">
        <x:v>女</x:v>
      </x:c>
      <x:c r="I256" s="9" t="str">
        <x:v>DVF弹力松紧腰印花双面网纱半裙</x:v>
      </x:c>
      <x:c r="J256" s="9" t="str">
        <x:v>DIANE VON FURSTENBERG</x:v>
      </x:c>
      <x:c r="K256" s="24" t="n">
        <x:v>1521.85</x:v>
      </x:c>
      <x:c r="L256" s="25" t="e">
        <x:f>HYPERLINK("https://item.taobao.com/item.htm?id=779628677816","打开商品")</x:f>
        <x:v>HYPERLINK is not implemented. linkLocation=https://item.taobao.com/item.htm?id=779628677816, friendlyName=打开商品</x:v>
      </x:c>
      <x:c r="M256" s="25" t="e">
        <x:f>HYPERLINK("https://data.zhiyitech.cn/itemDetail/overview/base?itemId=779628677816","打开知衣")</x:f>
        <x:v>HYPERLINK is not implemented. linkLocation=https://data.zhiyitech.cn/itemDetail/overview/base?itemId=779628677816, friendlyName=打开知衣</x:v>
      </x:c>
      <x:c r="N256" s="25" t="e">
        <x:f>HYPERLINK("https://img.alicdn.com/bao/uploaded/i2/2206472314998/O1CN01OsYPC4eGAWL43lmS_!!4611686018427379830-0-item_pic.jpg","查看主图")</x:f>
        <x:v>HYPERLINK is not implemented. linkLocation=https://img.alicdn.com/bao/uploaded/i2/2206472314998/O1CN01OsYPC4eGAWL43lmS_!!4611686018427379830-0-item_pic.jpg, friendlyName=查看主图</x:v>
      </x:c>
      <x:c r="O256" s="9" t="str">
        <x:v>标题及既有类目语义复核；DVF弹力松紧腰印花双面网纱半裙；原类目及标题已能确认半身裙；展示使用已知大类，未知裙长下沉到结构字段，不强猜长短。</x:v>
      </x:c>
      <x:c r="P256" s="9" t="str">
        <x:v>普通男女装</x:v>
      </x:c>
      <x:c r="Q256" s="9" t="str">
        <x:v>W_SKIRTS_AVGPAID_1500_1600_ANNUAL2026.xlsx</x:v>
      </x:c>
      <x:c r="R256" s="9" t="str">
        <x:v>默认</x:v>
      </x:c>
      <x:c r="S256" s="9" t="n">
        <x:v>486</x:v>
      </x:c>
      <x:c r="T256" s="9" t="str">
        <x:v>deede8b56943df4f914be45dba170f12e69064023d6ef0e88dbde1764f6ba23e</x:v>
      </x:c>
      <x:c r="U256" s="9" t="str">
        <x:v>W_SKIRTS_AVGPAID_1500_1600_ANNUAL2026</x:v>
      </x:c>
      <x:c r="V256" s="9" t="str">
        <x:v>W_SKIRTS_AVGPAID_1500_1600_ANNUAL2026.xlsx / 默认 / 第486行 / SHA256 deede8b56943df4f914be45dba170f12e69064023d6ef0e88dbde1764f6ba23e</x:v>
      </x:c>
    </x:row>
    <x:row r="257" ht="58" customHeight="1">
      <x:c r="A257" s="23" t="str">
        <x:v>799488512081</x:v>
      </x:c>
      <x:c r="B257" s="22"/>
      <x:c r="C257" s="22"/>
      <x:c r="D257" s="22"/>
      <x:c r="E257" s="9" t="str">
        <x:v>裙长未明确</x:v>
      </x:c>
      <x:c r="F257" s="9" t="str">
        <x:v>裙装</x:v>
      </x:c>
      <x:c r="G257" s="9" t="str">
        <x:v>半身裙</x:v>
      </x:c>
      <x:c r="H257" s="9" t="str">
        <x:v>女</x:v>
      </x:c>
      <x:c r="I257" s="9" t="str">
        <x:v>DVF碎花裙气质曜石黑色拼接植物印花哑光针织轻薄半裙KM2S004</x:v>
      </x:c>
      <x:c r="J257" s="9" t="str">
        <x:v>DIANE VON FURSTENBERG</x:v>
      </x:c>
      <x:c r="K257" s="24" t="n">
        <x:v>1388.71</x:v>
      </x:c>
      <x:c r="L257" s="25" t="e">
        <x:f>HYPERLINK("https://item.taobao.com/item.htm?id=799488512081","打开商品")</x:f>
        <x:v>HYPERLINK is not implemented. linkLocation=https://item.taobao.com/item.htm?id=799488512081, friendlyName=打开商品</x:v>
      </x:c>
      <x:c r="M257" s="25" t="e">
        <x:f>HYPERLINK("https://data.zhiyitech.cn/itemDetail/overview/base?itemId=799488512081","打开知衣")</x:f>
        <x:v>HYPERLINK is not implemented. linkLocation=https://data.zhiyitech.cn/itemDetail/overview/base?itemId=799488512081, friendlyName=打开知衣</x:v>
      </x:c>
      <x:c r="N257" s="25" t="e">
        <x:f>HYPERLINK("https://img.alicdn.com/bao/uploaded/i3/2206472314998/O1CN01tjWC4e0HnIF43lmS_!!4611686018427379830-0-item_pic.jpg","查看主图")</x:f>
        <x:v>HYPERLINK is not implemented. linkLocation=https://img.alicdn.com/bao/uploaded/i3/2206472314998/O1CN01tjWC4e0HnIF43lmS_!!4611686018427379830-0-item_pic.jpg, friendlyName=查看主图</x:v>
      </x:c>
      <x:c r="O257" s="9" t="str">
        <x:v>标题及既有类目语义复核；DVF碎花裙气质曜石黑色拼接植物印花哑光针织轻薄半裙KM2S004；原类目及标题已能确认半身裙；展示使用已知大类，未知裙长下沉到结构字段，不强猜长短。</x:v>
      </x:c>
      <x:c r="P257" s="9" t="str">
        <x:v>普通男女装</x:v>
      </x:c>
      <x:c r="Q257" s="9" t="str">
        <x:v>W_SKIRTS_AVGPAID_1300_1400_ANNUAL2026.xlsx</x:v>
      </x:c>
      <x:c r="R257" s="9" t="str">
        <x:v>默认</x:v>
      </x:c>
      <x:c r="S257" s="9" t="n">
        <x:v>414</x:v>
      </x:c>
      <x:c r="T257" s="9" t="str">
        <x:v>bd4dae1e08e9eca7ddd0669235bf59107cdc418b9c2898fc16f36a7ab5748692</x:v>
      </x:c>
      <x:c r="U257" s="9" t="str">
        <x:v>W_SKIRTS_AVGPAID_1300_1400_ANNUAL2026</x:v>
      </x:c>
      <x:c r="V257" s="9" t="str">
        <x:v>W_SKIRTS_AVGPAID_1300_1400_ANNUAL2026.xlsx / 默认 / 第414行 / SHA256 bd4dae1e08e9eca7ddd0669235bf59107cdc418b9c2898fc16f36a7ab5748692</x:v>
      </x:c>
    </x:row>
    <x:row r="258" ht="58" customHeight="1">
      <x:c r="A258" s="23" t="str">
        <x:v>809072051021</x:v>
      </x:c>
      <x:c r="B258" s="22"/>
      <x:c r="C258" s="22"/>
      <x:c r="D258" s="22"/>
      <x:c r="E258" s="9" t="str">
        <x:v>裙长未明确</x:v>
      </x:c>
      <x:c r="F258" s="9" t="str">
        <x:v>裙装</x:v>
      </x:c>
      <x:c r="G258" s="9" t="str">
        <x:v>半身裙</x:v>
      </x:c>
      <x:c r="H258" s="9" t="str">
        <x:v>女</x:v>
      </x:c>
      <x:c r="I258" s="9" t="str">
        <x:v>[提花工艺]DVF侧开叉印花拼接针织立方体针织半裙KN3S003</x:v>
      </x:c>
      <x:c r="J258" s="9" t="str">
        <x:v>DIANE VON FURSTENBERG</x:v>
      </x:c>
      <x:c r="K258" s="24" t="n">
        <x:v>1554.11</x:v>
      </x:c>
      <x:c r="L258" s="25" t="e">
        <x:f>HYPERLINK("https://item.taobao.com/item.htm?id=809072051021","打开商品")</x:f>
        <x:v>HYPERLINK is not implemented. linkLocation=https://item.taobao.com/item.htm?id=809072051021, friendlyName=打开商品</x:v>
      </x:c>
      <x:c r="M258" s="25" t="e">
        <x:f>HYPERLINK("https://data.zhiyitech.cn/itemDetail/overview/base?itemId=809072051021","打开知衣")</x:f>
        <x:v>HYPERLINK is not implemented. linkLocation=https://data.zhiyitech.cn/itemDetail/overview/base?itemId=809072051021, friendlyName=打开知衣</x:v>
      </x:c>
      <x:c r="N258" s="25" t="e">
        <x:f>HYPERLINK("https://img.alicdn.com/bao/uploaded/i1/2206472314998/O1CN01K7Q1AhK5E6G43lmS_!!4611686018427379830-0-item_pic.jpg","查看主图")</x:f>
        <x:v>HYPERLINK is not implemented. linkLocation=https://img.alicdn.com/bao/uploaded/i1/2206472314998/O1CN01K7Q1AhK5E6G43lmS_!!4611686018427379830-0-item_pic.jpg, friendlyName=查看主图</x:v>
      </x:c>
      <x:c r="O258" s="9" t="str">
        <x:v>标题及既有类目语义复核；[提花工艺]DVF侧开叉印花拼接针织立方体针织半裙KN3S003；原类目及标题已能确认半身裙；展示使用已知大类，未知裙长下沉到结构字段，不强猜长短。</x:v>
      </x:c>
      <x:c r="P258" s="9" t="str">
        <x:v>普通男女装</x:v>
      </x:c>
      <x:c r="Q258" s="9" t="str">
        <x:v>W_SKIRTS_AVGPAID_1500_1600_ANNUAL2026.xlsx</x:v>
      </x:c>
      <x:c r="R258" s="9" t="str">
        <x:v>默认</x:v>
      </x:c>
      <x:c r="S258" s="9" t="n">
        <x:v>244</x:v>
      </x:c>
      <x:c r="T258" s="9" t="str">
        <x:v>deede8b56943df4f914be45dba170f12e69064023d6ef0e88dbde1764f6ba23e</x:v>
      </x:c>
      <x:c r="U258" s="9" t="str">
        <x:v>W_SKIRTS_AVGPAID_1500_1600_ANNUAL2026</x:v>
      </x:c>
      <x:c r="V258" s="9" t="str">
        <x:v>W_SKIRTS_AVGPAID_1500_1600_ANNUAL2026.xlsx / 默认 / 第244行 / SHA256 deede8b56943df4f914be45dba170f12e69064023d6ef0e88dbde1764f6ba23e</x:v>
      </x:c>
    </x:row>
    <x:row r="259" ht="58" customHeight="1">
      <x:c r="A259" s="23" t="str">
        <x:v>809344685413</x:v>
      </x:c>
      <x:c r="B259" s="22"/>
      <x:c r="C259" s="22"/>
      <x:c r="D259" s="22"/>
      <x:c r="E259" s="9" t="str">
        <x:v>裙长未明确</x:v>
      </x:c>
      <x:c r="F259" s="9" t="str">
        <x:v>裙装</x:v>
      </x:c>
      <x:c r="G259" s="9" t="str">
        <x:v>半身裙</x:v>
      </x:c>
      <x:c r="H259" s="9" t="str">
        <x:v>女</x:v>
      </x:c>
      <x:c r="I259" s="9" t="str">
        <x:v>[天猫独家]DVF牛油果绿色羊毛混纺针织半裙KN3S004</x:v>
      </x:c>
      <x:c r="J259" s="9" t="str">
        <x:v>DIANE VON FURSTENBERG</x:v>
      </x:c>
      <x:c r="K259" s="24" t="n">
        <x:v>1336.16</x:v>
      </x:c>
      <x:c r="L259" s="25" t="e">
        <x:f>HYPERLINK("https://item.taobao.com/item.htm?id=809344685413","打开商品")</x:f>
        <x:v>HYPERLINK is not implemented. linkLocation=https://item.taobao.com/item.htm?id=809344685413, friendlyName=打开商品</x:v>
      </x:c>
      <x:c r="M259" s="25" t="e">
        <x:f>HYPERLINK("https://data.zhiyitech.cn/itemDetail/overview/base?itemId=809344685413","打开知衣")</x:f>
        <x:v>HYPERLINK is not implemented. linkLocation=https://data.zhiyitech.cn/itemDetail/overview/base?itemId=809344685413, friendlyName=打开知衣</x:v>
      </x:c>
      <x:c r="N259" s="25" t="e">
        <x:f>HYPERLINK("https://img.alicdn.com/bao/uploaded/i1/2206472314998/O1CN017EzDjdVqFUL43lmS_!!4611686018427379830-0-item_pic.jpg","查看主图")</x:f>
        <x:v>HYPERLINK is not implemented. linkLocation=https://img.alicdn.com/bao/uploaded/i1/2206472314998/O1CN017EzDjdVqFUL43lmS_!!4611686018427379830-0-item_pic.jpg, friendlyName=查看主图</x:v>
      </x:c>
      <x:c r="O259" s="9" t="str">
        <x:v>标题及既有类目语义复核；[天猫独家]DVF牛油果绿色羊毛混纺针织半裙KN3S004；原类目及标题已能确认半身裙；展示使用已知大类，未知裙长下沉到结构字段，不强猜长短。</x:v>
      </x:c>
      <x:c r="P259" s="9" t="str">
        <x:v>普通男女装</x:v>
      </x:c>
      <x:c r="Q259" s="9" t="str">
        <x:v>W_SKIRTS_AVGPAID_1300_1400_ANNUAL2026.xlsx</x:v>
      </x:c>
      <x:c r="R259" s="9" t="str">
        <x:v>默认</x:v>
      </x:c>
      <x:c r="S259" s="9" t="n">
        <x:v>254</x:v>
      </x:c>
      <x:c r="T259" s="9" t="str">
        <x:v>bd4dae1e08e9eca7ddd0669235bf59107cdc418b9c2898fc16f36a7ab5748692</x:v>
      </x:c>
      <x:c r="U259" s="9" t="str">
        <x:v>W_SKIRTS_AVGPAID_1300_1400_ANNUAL2026</x:v>
      </x:c>
      <x:c r="V259" s="9" t="str">
        <x:v>W_SKIRTS_AVGPAID_1300_1400_ANNUAL2026.xlsx / 默认 / 第254行 / SHA256 bd4dae1e08e9eca7ddd0669235bf59107cdc418b9c2898fc16f36a7ab5748692</x:v>
      </x:c>
    </x:row>
    <x:row r="260" ht="58" customHeight="1">
      <x:c r="A260" s="23" t="str">
        <x:v>838621750823</x:v>
      </x:c>
      <x:c r="B260" s="22"/>
      <x:c r="C260" s="22"/>
      <x:c r="D260" s="22"/>
      <x:c r="E260" s="9" t="str">
        <x:v>裙长未明确</x:v>
      </x:c>
      <x:c r="F260" s="9" t="str">
        <x:v>裙装</x:v>
      </x:c>
      <x:c r="G260" s="9" t="str">
        <x:v>半身裙</x:v>
      </x:c>
      <x:c r="H260" s="9" t="str">
        <x:v>女</x:v>
      </x:c>
      <x:c r="I260" s="9" t="str">
        <x:v>[天猫独家]DVF包臀裙几何图案针织提花半裙KN3S001</x:v>
      </x:c>
      <x:c r="J260" s="9" t="str">
        <x:v>DIANE VON FURSTENBERG</x:v>
      </x:c>
      <x:c r="K260" s="24" t="n">
        <x:v>1521.71</x:v>
      </x:c>
      <x:c r="L260" s="25" t="e">
        <x:f>HYPERLINK("https://item.taobao.com/item.htm?id=838621750823","打开商品")</x:f>
        <x:v>HYPERLINK is not implemented. linkLocation=https://item.taobao.com/item.htm?id=838621750823, friendlyName=打开商品</x:v>
      </x:c>
      <x:c r="M260" s="25" t="e">
        <x:f>HYPERLINK("https://data.zhiyitech.cn/itemDetail/overview/base?itemId=838621750823","打开知衣")</x:f>
        <x:v>HYPERLINK is not implemented. linkLocation=https://data.zhiyitech.cn/itemDetail/overview/base?itemId=838621750823, friendlyName=打开知衣</x:v>
      </x:c>
      <x:c r="N260" s="25" t="e">
        <x:f>HYPERLINK("https://img.alicdn.com/bao/uploaded/i4/2206472314998/O1CN01jvFGaGreXhF43lmS_!!4611686018427379830-0-item_pic.jpg","查看主图")</x:f>
        <x:v>HYPERLINK is not implemented. linkLocation=https://img.alicdn.com/bao/uploaded/i4/2206472314998/O1CN01jvFGaGreXhF43lmS_!!4611686018427379830-0-item_pic.jpg, friendlyName=查看主图</x:v>
      </x:c>
      <x:c r="O260" s="9" t="str">
        <x:v>标题及既有类目语义复核；[天猫独家]DVF包臀裙几何图案针织提花半裙KN3S001；原类目及标题已能确认半身裙；展示使用已知大类，未知裙长下沉到结构字段，不强猜长短。</x:v>
      </x:c>
      <x:c r="P260" s="9" t="str">
        <x:v>普通男女装</x:v>
      </x:c>
      <x:c r="Q260" s="9" t="str">
        <x:v>W_SKIRTS_AVGPAID_1500_1600_ANNUAL2026.xlsx</x:v>
      </x:c>
      <x:c r="R260" s="9" t="str">
        <x:v>默认</x:v>
      </x:c>
      <x:c r="S260" s="9" t="n">
        <x:v>367</x:v>
      </x:c>
      <x:c r="T260" s="9" t="str">
        <x:v>deede8b56943df4f914be45dba170f12e69064023d6ef0e88dbde1764f6ba23e</x:v>
      </x:c>
      <x:c r="U260" s="9" t="str">
        <x:v>W_SKIRTS_AVGPAID_1500_1600_ANNUAL2026</x:v>
      </x:c>
      <x:c r="V260" s="9" t="str">
        <x:v>W_SKIRTS_AVGPAID_1500_1600_ANNUAL2026.xlsx / 默认 / 第367行 / SHA256 deede8b56943df4f914be45dba170f12e69064023d6ef0e88dbde1764f6ba23e</x:v>
      </x:c>
    </x:row>
    <x:row r="261" ht="58" customHeight="1">
      <x:c r="A261" s="23" t="str">
        <x:v>852437685819</x:v>
      </x:c>
      <x:c r="B261" s="22"/>
      <x:c r="C261" s="22"/>
      <x:c r="D261" s="22"/>
      <x:c r="E261" s="9" t="str">
        <x:v>裙长未明确</x:v>
      </x:c>
      <x:c r="F261" s="9" t="str">
        <x:v>裙装</x:v>
      </x:c>
      <x:c r="G261" s="9" t="str">
        <x:v>半身裙</x:v>
      </x:c>
      <x:c r="H261" s="9" t="str">
        <x:v>女</x:v>
      </x:c>
      <x:c r="I261" s="9" t="str">
        <x:v>[哑光针织]DVF度假粉红色光影印花轻薄A字半裙KM4S002</x:v>
      </x:c>
      <x:c r="J261" s="9" t="str">
        <x:v>DIANE VON FURSTENBERG</x:v>
      </x:c>
      <x:c r="K261" s="24" t="n">
        <x:v>1522.05</x:v>
      </x:c>
      <x:c r="L261" s="25" t="e">
        <x:f>HYPERLINK("https://item.taobao.com/item.htm?id=852437685819","打开商品")</x:f>
        <x:v>HYPERLINK is not implemented. linkLocation=https://item.taobao.com/item.htm?id=852437685819, friendlyName=打开商品</x:v>
      </x:c>
      <x:c r="M261" s="25" t="e">
        <x:f>HYPERLINK("https://data.zhiyitech.cn/itemDetail/overview/base?itemId=852437685819","打开知衣")</x:f>
        <x:v>HYPERLINK is not implemented. linkLocation=https://data.zhiyitech.cn/itemDetail/overview/base?itemId=852437685819, friendlyName=打开知衣</x:v>
      </x:c>
      <x:c r="N261" s="25" t="e">
        <x:f>HYPERLINK("https://img.alicdn.com/bao/uploaded/i3/2206472314998/O1CN01eJnNbxpcF2K2R3rs_!!4611686018427379830-0-item_pic.jpg","查看主图")</x:f>
        <x:v>HYPERLINK is not implemented. linkLocation=https://img.alicdn.com/bao/uploaded/i3/2206472314998/O1CN01eJnNbxpcF2K2R3rs_!!4611686018427379830-0-item_pic.jpg, friendlyName=查看主图</x:v>
      </x:c>
      <x:c r="O261" s="9" t="str">
        <x:v>标题及既有类目语义复核；[哑光针织]DVF度假粉红色光影印花轻薄A字半裙KM4S002；原类目及标题已能确认半身裙；展示使用已知大类，未知裙长下沉到结构字段，不强猜长短。</x:v>
      </x:c>
      <x:c r="P261" s="9" t="str">
        <x:v>普通男女装</x:v>
      </x:c>
      <x:c r="Q261" s="9" t="str">
        <x:v>W_SKIRTS_AVGPAID_1500_1600_ANNUAL2026.xlsx</x:v>
      </x:c>
      <x:c r="R261" s="9" t="str">
        <x:v>默认</x:v>
      </x:c>
      <x:c r="S261" s="9" t="n">
        <x:v>422</x:v>
      </x:c>
      <x:c r="T261" s="9" t="str">
        <x:v>deede8b56943df4f914be45dba170f12e69064023d6ef0e88dbde1764f6ba23e</x:v>
      </x:c>
      <x:c r="U261" s="9" t="str">
        <x:v>W_SKIRTS_AVGPAID_1500_1600_ANNUAL2026</x:v>
      </x:c>
      <x:c r="V261" s="9" t="str">
        <x:v>W_SKIRTS_AVGPAID_1500_1600_ANNUAL2026.xlsx / 默认 / 第422行 / SHA256 deede8b56943df4f914be45dba170f12e69064023d6ef0e88dbde1764f6ba23e</x:v>
      </x:c>
    </x:row>
    <x:row r="262" ht="58" customHeight="1">
      <x:c r="A262" s="23" t="str">
        <x:v>873429539764</x:v>
      </x:c>
      <x:c r="B262" s="22"/>
      <x:c r="C262" s="22"/>
      <x:c r="D262" s="22"/>
      <x:c r="E262" s="9" t="str">
        <x:v>裙长未明确</x:v>
      </x:c>
      <x:c r="F262" s="9" t="str">
        <x:v>裙装</x:v>
      </x:c>
      <x:c r="G262" s="9" t="str">
        <x:v>半身裙</x:v>
      </x:c>
      <x:c r="H262" s="9" t="str">
        <x:v>女</x:v>
      </x:c>
      <x:c r="I262" s="9" t="str">
        <x:v>DVF绿影珊瑚叶图案直筒铅笔裙</x:v>
      </x:c>
      <x:c r="J262" s="9" t="str">
        <x:v>DIANE VON FURSTENBERG</x:v>
      </x:c>
      <x:c r="K262" s="24" t="n">
        <x:v>1334.12</x:v>
      </x:c>
      <x:c r="L262" s="25" t="e">
        <x:f>HYPERLINK("https://item.taobao.com/item.htm?id=873429539764","打开商品")</x:f>
        <x:v>HYPERLINK is not implemented. linkLocation=https://item.taobao.com/item.htm?id=873429539764, friendlyName=打开商品</x:v>
      </x:c>
      <x:c r="M262" s="25" t="e">
        <x:f>HYPERLINK("https://data.zhiyitech.cn/itemDetail/overview/base?itemId=873429539764","打开知衣")</x:f>
        <x:v>HYPERLINK is not implemented. linkLocation=https://data.zhiyitech.cn/itemDetail/overview/base?itemId=873429539764, friendlyName=打开知衣</x:v>
      </x:c>
      <x:c r="N262" s="25" t="e">
        <x:f>HYPERLINK("https://img.alicdn.com/bao/uploaded/i3/2206472314998/O1CN01pcV7fKHRyxK43lmS-2206472314998.jpg","查看主图")</x:f>
        <x:v>HYPERLINK is not implemented. linkLocation=https://img.alicdn.com/bao/uploaded/i3/2206472314998/O1CN01pcV7fKHRyxK43lmS-2206472314998.jpg, friendlyName=查看主图</x:v>
      </x:c>
      <x:c r="O262" s="9" t="str">
        <x:v>标题及既有类目语义复核；DVF绿影珊瑚叶图案直筒铅笔裙；原类目及标题已能确认半身裙；展示使用已知大类，未知裙长下沉到结构字段，不强猜长短。</x:v>
      </x:c>
      <x:c r="P262" s="9" t="str">
        <x:v>普通男女装</x:v>
      </x:c>
      <x:c r="Q262" s="9" t="str">
        <x:v>W_SKIRTS_AVGPAID_1300_1400_ANNUAL2026.xlsx</x:v>
      </x:c>
      <x:c r="R262" s="9" t="str">
        <x:v>默认</x:v>
      </x:c>
      <x:c r="S262" s="9" t="n">
        <x:v>317</x:v>
      </x:c>
      <x:c r="T262" s="9" t="str">
        <x:v>bd4dae1e08e9eca7ddd0669235bf59107cdc418b9c2898fc16f36a7ab5748692</x:v>
      </x:c>
      <x:c r="U262" s="9" t="str">
        <x:v>W_SKIRTS_AVGPAID_1300_1400_ANNUAL2026</x:v>
      </x:c>
      <x:c r="V262" s="9" t="str">
        <x:v>W_SKIRTS_AVGPAID_1300_1400_ANNUAL2026.xlsx / 默认 / 第317行 / SHA256 bd4dae1e08e9eca7ddd0669235bf59107cdc418b9c2898fc16f36a7ab5748692</x:v>
      </x:c>
    </x:row>
    <x:row r="263" ht="58" customHeight="1">
      <x:c r="A263" s="23" t="str">
        <x:v>873621302803</x:v>
      </x:c>
      <x:c r="B263" s="22"/>
      <x:c r="C263" s="22"/>
      <x:c r="D263" s="22"/>
      <x:c r="E263" s="9" t="str">
        <x:v>裙长未明确</x:v>
      </x:c>
      <x:c r="F263" s="9" t="str">
        <x:v>裙装</x:v>
      </x:c>
      <x:c r="G263" s="9" t="str">
        <x:v>半身裙</x:v>
      </x:c>
      <x:c r="H263" s="9" t="str">
        <x:v>女</x:v>
      </x:c>
      <x:c r="I263" s="9" t="str">
        <x:v>DVF粉色太阳花剪影度假复古绉纱A字半裙KM1T001</x:v>
      </x:c>
      <x:c r="J263" s="9" t="str">
        <x:v>DIANE VON FURSTENBERG</x:v>
      </x:c>
      <x:c r="K263" s="24" t="n">
        <x:v>1389.9</x:v>
      </x:c>
      <x:c r="L263" s="25" t="e">
        <x:f>HYPERLINK("https://item.taobao.com/item.htm?id=873621302803","打开商品")</x:f>
        <x:v>HYPERLINK is not implemented. linkLocation=https://item.taobao.com/item.htm?id=873621302803, friendlyName=打开商品</x:v>
      </x:c>
      <x:c r="M263" s="25" t="e">
        <x:f>HYPERLINK("https://data.zhiyitech.cn/itemDetail/overview/base?itemId=873621302803","打开知衣")</x:f>
        <x:v>HYPERLINK is not implemented. linkLocation=https://data.zhiyitech.cn/itemDetail/overview/base?itemId=873621302803, friendlyName=打开知衣</x:v>
      </x:c>
      <x:c r="N263" s="25" t="e">
        <x:f>HYPERLINK("https://img.alicdn.com/bao/uploaded/i3/2206472314998/O1CN01QP1MpB1mn8fKkVkxy-2206472314998.jpg","查看主图")</x:f>
        <x:v>HYPERLINK is not implemented. linkLocation=https://img.alicdn.com/bao/uploaded/i3/2206472314998/O1CN01QP1MpB1mn8fKkVkxy-2206472314998.jpg, friendlyName=查看主图</x:v>
      </x:c>
      <x:c r="O263" s="9" t="str">
        <x:v>标题及既有类目语义复核；DVF粉色太阳花剪影度假复古绉纱A字半裙KM1T001；原类目及标题已能确认半身裙；展示使用已知大类，未知裙长下沉到结构字段，不强猜长短。</x:v>
      </x:c>
      <x:c r="P263" s="9" t="str">
        <x:v>普通男女装</x:v>
      </x:c>
      <x:c r="Q263" s="9" t="str">
        <x:v>W_SKIRTS_AVGPAID_1300_1400_ANNUAL2026.xlsx</x:v>
      </x:c>
      <x:c r="R263" s="9" t="str">
        <x:v>默认</x:v>
      </x:c>
      <x:c r="S263" s="9" t="n">
        <x:v>492</x:v>
      </x:c>
      <x:c r="T263" s="9" t="str">
        <x:v>bd4dae1e08e9eca7ddd0669235bf59107cdc418b9c2898fc16f36a7ab5748692</x:v>
      </x:c>
      <x:c r="U263" s="9" t="str">
        <x:v>W_SKIRTS_AVGPAID_1300_1400_ANNUAL2026</x:v>
      </x:c>
      <x:c r="V263" s="9" t="str">
        <x:v>W_SKIRTS_AVGPAID_1300_1400_ANNUAL2026.xlsx / 默认 / 第492行 / SHA256 bd4dae1e08e9eca7ddd0669235bf59107cdc418b9c2898fc16f36a7ab5748692</x:v>
      </x:c>
    </x:row>
    <x:row r="264" ht="58" customHeight="1">
      <x:c r="A264" s="23" t="str">
        <x:v>873621346858</x:v>
      </x:c>
      <x:c r="B264" s="22"/>
      <x:c r="C264" s="22"/>
      <x:c r="D264" s="22"/>
      <x:c r="E264" s="9" t="str">
        <x:v>裙长未明确</x:v>
      </x:c>
      <x:c r="F264" s="9" t="str">
        <x:v>裙装</x:v>
      </x:c>
      <x:c r="G264" s="9" t="str">
        <x:v>半身裙</x:v>
      </x:c>
      <x:c r="H264" s="9" t="str">
        <x:v>女</x:v>
      </x:c>
      <x:c r="I264" s="9" t="str">
        <x:v>DVF黑白艺术斑马纹图案印花半裙</x:v>
      </x:c>
      <x:c r="J264" s="9" t="str">
        <x:v>DIANE VON FURSTENBERG</x:v>
      </x:c>
      <x:c r="K264" s="24" t="n">
        <x:v>1535.87</x:v>
      </x:c>
      <x:c r="L264" s="25" t="e">
        <x:f>HYPERLINK("https://item.taobao.com/item.htm?id=873621346858","打开商品")</x:f>
        <x:v>HYPERLINK is not implemented. linkLocation=https://item.taobao.com/item.htm?id=873621346858, friendlyName=打开商品</x:v>
      </x:c>
      <x:c r="M264" s="25" t="e">
        <x:f>HYPERLINK("https://data.zhiyitech.cn/itemDetail/overview/base?itemId=873621346858","打开知衣")</x:f>
        <x:v>HYPERLINK is not implemented. linkLocation=https://data.zhiyitech.cn/itemDetail/overview/base?itemId=873621346858, friendlyName=打开知衣</x:v>
      </x:c>
      <x:c r="N264" s="25" t="e">
        <x:f>HYPERLINK("https://img.alicdn.com/bao/uploaded/i4/2206472314998/O1CN01KQRZ4pJLK0C2R3rs-2206472314998.jpg","查看主图")</x:f>
        <x:v>HYPERLINK is not implemented. linkLocation=https://img.alicdn.com/bao/uploaded/i4/2206472314998/O1CN01KQRZ4pJLK0C2R3rs-2206472314998.jpg, friendlyName=查看主图</x:v>
      </x:c>
      <x:c r="O264" s="9" t="str">
        <x:v>标题及既有类目语义复核；DVF黑白艺术斑马纹图案印花半裙；原类目及标题已能确认半身裙；展示使用已知大类，未知裙长下沉到结构字段，不强猜长短。</x:v>
      </x:c>
      <x:c r="P264" s="9" t="str">
        <x:v>普通男女装</x:v>
      </x:c>
      <x:c r="Q264" s="9" t="str">
        <x:v>W_SKIRTS_AVGPAID_1500_1600_ANNUAL2026.xlsx</x:v>
      </x:c>
      <x:c r="R264" s="9" t="str">
        <x:v>默认</x:v>
      </x:c>
      <x:c r="S264" s="9" t="n">
        <x:v>469</x:v>
      </x:c>
      <x:c r="T264" s="9" t="str">
        <x:v>deede8b56943df4f914be45dba170f12e69064023d6ef0e88dbde1764f6ba23e</x:v>
      </x:c>
      <x:c r="U264" s="9" t="str">
        <x:v>W_SKIRTS_AVGPAID_1500_1600_ANNUAL2026</x:v>
      </x:c>
      <x:c r="V264" s="9" t="str">
        <x:v>W_SKIRTS_AVGPAID_1500_1600_ANNUAL2026.xlsx / 默认 / 第469行 / SHA256 deede8b56943df4f914be45dba170f12e69064023d6ef0e88dbde1764f6ba23e</x:v>
      </x:c>
    </x:row>
    <x:row r="265" ht="58" customHeight="1">
      <x:c r="A265" s="23" t="str">
        <x:v>897971154069</x:v>
      </x:c>
      <x:c r="B265" s="22"/>
      <x:c r="C265" s="22"/>
      <x:c r="D265" s="22"/>
      <x:c r="E265" s="9" t="str">
        <x:v>裙长未明确</x:v>
      </x:c>
      <x:c r="F265" s="9" t="str">
        <x:v>裙装</x:v>
      </x:c>
      <x:c r="G265" s="9" t="str">
        <x:v>半身裙</x:v>
      </x:c>
      <x:c r="H265" s="9" t="str">
        <x:v>女</x:v>
      </x:c>
      <x:c r="I265" s="9" t="str">
        <x:v>DVF蓝色格网花图案直筒铅笔裙轻薄半裙KM2T003</x:v>
      </x:c>
      <x:c r="J265" s="9" t="str">
        <x:v>DIANE VON FURSTENBERG</x:v>
      </x:c>
      <x:c r="K265" s="24" t="n">
        <x:v>1345.26</x:v>
      </x:c>
      <x:c r="L265" s="25" t="e">
        <x:f>HYPERLINK("https://item.taobao.com/item.htm?id=897971154069","打开商品")</x:f>
        <x:v>HYPERLINK is not implemented. linkLocation=https://item.taobao.com/item.htm?id=897971154069, friendlyName=打开商品</x:v>
      </x:c>
      <x:c r="M265" s="25" t="e">
        <x:f>HYPERLINK("https://data.zhiyitech.cn/itemDetail/overview/base?itemId=897971154069","打开知衣")</x:f>
        <x:v>HYPERLINK is not implemented. linkLocation=https://data.zhiyitech.cn/itemDetail/overview/base?itemId=897971154069, friendlyName=打开知衣</x:v>
      </x:c>
      <x:c r="N265" s="25" t="e">
        <x:f>HYPERLINK("https://img.alicdn.com/bao/uploaded/i2/2206472314998/O1CN01xUmPWB21ryG43lmS_!!4611686018427379830-0-item_pic.jpg","查看主图")</x:f>
        <x:v>HYPERLINK is not implemented. linkLocation=https://img.alicdn.com/bao/uploaded/i2/2206472314998/O1CN01xUmPWB21ryG43lmS_!!4611686018427379830-0-item_pic.jpg, friendlyName=查看主图</x:v>
      </x:c>
      <x:c r="O265" s="9" t="str">
        <x:v>标题及既有类目语义复核；DVF蓝色格网花图案直筒铅笔裙轻薄半裙KM2T003；原类目及标题已能确认半身裙；展示使用已知大类，未知裙长下沉到结构字段，不强猜长短。</x:v>
      </x:c>
      <x:c r="P265" s="9" t="str">
        <x:v>普通男女装</x:v>
      </x:c>
      <x:c r="Q265" s="9" t="str">
        <x:v>W_SKIRTS_AVGPAID_1300_1400_ANNUAL2026.xlsx</x:v>
      </x:c>
      <x:c r="R265" s="9" t="str">
        <x:v>默认</x:v>
      </x:c>
      <x:c r="S265" s="9" t="n">
        <x:v>201</x:v>
      </x:c>
      <x:c r="T265" s="9" t="str">
        <x:v>bd4dae1e08e9eca7ddd0669235bf59107cdc418b9c2898fc16f36a7ab5748692</x:v>
      </x:c>
      <x:c r="U265" s="9" t="str">
        <x:v>W_SKIRTS_AVGPAID_1300_1400_ANNUAL2026</x:v>
      </x:c>
      <x:c r="V265" s="9" t="str">
        <x:v>W_SKIRTS_AVGPAID_1300_1400_ANNUAL2026.xlsx / 默认 / 第201行 / SHA256 bd4dae1e08e9eca7ddd0669235bf59107cdc418b9c2898fc16f36a7ab5748692</x:v>
      </x:c>
    </x:row>
    <x:row r="266" ht="58" customHeight="1">
      <x:c r="A266" s="23" t="str">
        <x:v>956287245436</x:v>
      </x:c>
      <x:c r="B266" s="22"/>
      <x:c r="C266" s="22"/>
      <x:c r="D266" s="22"/>
      <x:c r="E266" s="9" t="str">
        <x:v>裙长未明确</x:v>
      </x:c>
      <x:c r="F266" s="9" t="str">
        <x:v>裙装</x:v>
      </x:c>
      <x:c r="G266" s="9" t="str">
        <x:v>半身裙</x:v>
      </x:c>
      <x:c r="H266" s="9" t="str">
        <x:v>女</x:v>
      </x:c>
      <x:c r="I266" s="9" t="str">
        <x:v>DOUBLOVE贝爱官方星光褶艺裙甜美学院风半身裙百褶裙26秋</x:v>
      </x:c>
      <x:c r="J266" s="9" t="str">
        <x:v>DOUBLE LOVE</x:v>
      </x:c>
      <x:c r="K266" s="24" t="n">
        <x:v>1319.81</x:v>
      </x:c>
      <x:c r="L266" s="25" t="e">
        <x:f>HYPERLINK("https://item.taobao.com/item.htm?id=956287245436","打开商品")</x:f>
        <x:v>HYPERLINK is not implemented. linkLocation=https://item.taobao.com/item.htm?id=956287245436, friendlyName=打开商品</x:v>
      </x:c>
      <x:c r="M266" s="25" t="e">
        <x:f>HYPERLINK("https://data.zhiyitech.cn/itemDetail/overview/base?itemId=956287245436","打开知衣")</x:f>
        <x:v>HYPERLINK is not implemented. linkLocation=https://data.zhiyitech.cn/itemDetail/overview/base?itemId=956287245436, friendlyName=打开知衣</x:v>
      </x:c>
      <x:c r="N266" s="25" t="e">
        <x:f>HYPERLINK("https://img.alicdn.com/bao/uploaded/i4/2096822625/O1CN01dQBWSX1VGIp0pxBrw_!!4611686018427386209-0-item_pic.jpg","查看主图")</x:f>
        <x:v>HYPERLINK is not implemented. linkLocation=https://img.alicdn.com/bao/uploaded/i4/2096822625/O1CN01dQBWSX1VGIp0pxBrw_!!4611686018427386209-0-item_pic.jpg, friendlyName=查看主图</x:v>
      </x:c>
      <x:c r="O266" s="9" t="str">
        <x:v>标题及既有类目语义复核；DOUBLOVE贝爱官方星光褶艺裙甜美学院风半身裙百褶裙26秋；原类目及标题已能确认半身裙；展示使用已知大类，未知裙长下沉到结构字段，不强猜长短。</x:v>
      </x:c>
      <x:c r="P266" s="9" t="str">
        <x:v>普通男女装</x:v>
      </x:c>
      <x:c r="Q266" s="9" t="str">
        <x:v>W_SKIRTS_AVGPAID_1300_1400_ANNUAL2026.xlsx</x:v>
      </x:c>
      <x:c r="R266" s="9" t="str">
        <x:v>默认</x:v>
      </x:c>
      <x:c r="S266" s="9" t="n">
        <x:v>218</x:v>
      </x:c>
      <x:c r="T266" s="9" t="str">
        <x:v>bd4dae1e08e9eca7ddd0669235bf59107cdc418b9c2898fc16f36a7ab5748692</x:v>
      </x:c>
      <x:c r="U266" s="9" t="str">
        <x:v>W_SKIRTS_AVGPAID_1300_1400_ANNUAL2026</x:v>
      </x:c>
      <x:c r="V266" s="9" t="str">
        <x:v>W_SKIRTS_AVGPAID_1300_1400_ANNUAL2026.xlsx / 默认 / 第218行 / SHA256 bd4dae1e08e9eca7ddd0669235bf59107cdc418b9c2898fc16f36a7ab5748692</x:v>
      </x:c>
    </x:row>
    <x:row r="267" ht="58" customHeight="1">
      <x:c r="A267" s="23" t="str">
        <x:v>979278248933</x:v>
      </x:c>
      <x:c r="B267" s="22"/>
      <x:c r="C267" s="22"/>
      <x:c r="D267" s="22"/>
      <x:c r="E267" s="9" t="str">
        <x:v>裙长未明确</x:v>
      </x:c>
      <x:c r="F267" s="9" t="str">
        <x:v>裙装</x:v>
      </x:c>
      <x:c r="G267" s="9" t="str">
        <x:v>半身裙</x:v>
      </x:c>
      <x:c r="H267" s="9" t="str">
        <x:v>女</x:v>
      </x:c>
      <x:c r="I267" s="9" t="str">
        <x:v>dzzit地素蛋糕网纱米白色中裙</x:v>
      </x:c>
      <x:c r="J267" s="9" t="str">
        <x:v>D’ZZIT</x:v>
      </x:c>
      <x:c r="K267" s="24" t="n">
        <x:v>1311.32</x:v>
      </x:c>
      <x:c r="L267" s="25" t="e">
        <x:f>HYPERLINK("https://item.taobao.com/item.htm?id=979278248933","打开商品")</x:f>
        <x:v>HYPERLINK is not implemented. linkLocation=https://item.taobao.com/item.htm?id=979278248933, friendlyName=打开商品</x:v>
      </x:c>
      <x:c r="M267" s="25" t="e">
        <x:f>HYPERLINK("https://data.zhiyitech.cn/itemDetail/overview/base?itemId=979278248933","打开知衣")</x:f>
        <x:v>HYPERLINK is not implemented. linkLocation=https://data.zhiyitech.cn/itemDetail/overview/base?itemId=979278248933, friendlyName=打开知衣</x:v>
      </x:c>
      <x:c r="N267" s="25" t="e">
        <x:f>HYPERLINK("https://img.alicdn.com/bao/uploaded/i4/3398869435/O1CN01WntgFqOMDBB1chua-3398869435.jpg","查看主图")</x:f>
        <x:v>HYPERLINK is not implemented. linkLocation=https://img.alicdn.com/bao/uploaded/i4/3398869435/O1CN01WntgFqOMDBB1chua-3398869435.jpg, friendlyName=查看主图</x:v>
      </x:c>
      <x:c r="O267" s="9" t="str">
        <x:v>标题及既有类目语义复核；dzzit地素蛋糕网纱米白色中裙；原类目及标题已能确认半身裙；展示使用已知大类，未知裙长下沉到结构字段，不强猜长短。</x:v>
      </x:c>
      <x:c r="P267" s="9" t="str">
        <x:v>普通男女装</x:v>
      </x:c>
      <x:c r="Q267" s="9" t="str">
        <x:v>W_SKIRTS_AVGPAID_1300_1400_ANNUAL2026.xlsx</x:v>
      </x:c>
      <x:c r="R267" s="9" t="str">
        <x:v>默认</x:v>
      </x:c>
      <x:c r="S267" s="9" t="n">
        <x:v>19</x:v>
      </x:c>
      <x:c r="T267" s="9" t="str">
        <x:v>bd4dae1e08e9eca7ddd0669235bf59107cdc418b9c2898fc16f36a7ab5748692</x:v>
      </x:c>
      <x:c r="U267" s="9" t="str">
        <x:v>W_SKIRTS_AVGPAID_1300_1400_ANNUAL2026</x:v>
      </x:c>
      <x:c r="V267" s="9" t="str">
        <x:v>W_SKIRTS_AVGPAID_1300_1400_ANNUAL2026.xlsx / 默认 / 第19行 / SHA256 bd4dae1e08e9eca7ddd0669235bf59107cdc418b9c2898fc16f36a7ab5748692</x:v>
      </x:c>
    </x:row>
    <x:row r="268" ht="58" customHeight="1">
      <x:c r="A268" s="23" t="str">
        <x:v>914755347756</x:v>
      </x:c>
      <x:c r="B268" s="22"/>
      <x:c r="C268" s="22"/>
      <x:c r="D268" s="22"/>
      <x:c r="E268" s="9" t="str">
        <x:v>裙长未明确</x:v>
      </x:c>
      <x:c r="F268" s="9" t="str">
        <x:v>裙装</x:v>
      </x:c>
      <x:c r="G268" s="9" t="str">
        <x:v>半身裙</x:v>
      </x:c>
      <x:c r="H268" s="9" t="str">
        <x:v>女</x:v>
      </x:c>
      <x:c r="I268" s="9" t="str">
        <x:v>Ed Hardy女士靛蓝梭织装半身裙</x:v>
      </x:c>
      <x:c r="J268" s="9" t="str">
        <x:v>ED HARDY</x:v>
      </x:c>
      <x:c r="K268" s="24" t="n">
        <x:v>1703.63</x:v>
      </x:c>
      <x:c r="L268" s="25" t="e">
        <x:f>HYPERLINK("https://item.taobao.com/item.htm?id=914755347756","打开商品")</x:f>
        <x:v>HYPERLINK is not implemented. linkLocation=https://item.taobao.com/item.htm?id=914755347756, friendlyName=打开商品</x:v>
      </x:c>
      <x:c r="M268" s="25" t="e">
        <x:f>HYPERLINK("https://data.zhiyitech.cn/itemDetail/overview/base?itemId=914755347756","打开知衣")</x:f>
        <x:v>HYPERLINK is not implemented. linkLocation=https://data.zhiyitech.cn/itemDetail/overview/base?itemId=914755347756, friendlyName=打开知衣</x:v>
      </x:c>
      <x:c r="N268" s="25" t="e">
        <x:f>HYPERLINK("https://img.alicdn.com/bao/uploaded/i1/2961962045/O1CN01gNi3CP1Qyf0SyJZAE_!!4611686018427384893-0-item_pic.jpg","查看主图")</x:f>
        <x:v>HYPERLINK is not implemented. linkLocation=https://img.alicdn.com/bao/uploaded/i1/2961962045/O1CN01gNi3CP1Qyf0SyJZAE_!!4611686018427384893-0-item_pic.jpg, friendlyName=查看主图</x:v>
      </x:c>
      <x:c r="O268" s="9" t="str">
        <x:v>标题及既有类目语义复核；Ed Hardy女士靛蓝梭织装半身裙；原类目及标题已能确认半身裙；展示使用已知大类，未知裙长下沉到结构字段，不强猜长短。</x:v>
      </x:c>
      <x:c r="P268" s="9" t="str">
        <x:v>普通男女装</x:v>
      </x:c>
      <x:c r="Q268" s="9" t="str">
        <x:v>W_SKIRTS_AVGPAID_1700_1800_ANNUAL2026.xlsx</x:v>
      </x:c>
      <x:c r="R268" s="9" t="str">
        <x:v>默认</x:v>
      </x:c>
      <x:c r="S268" s="9" t="n">
        <x:v>475</x:v>
      </x:c>
      <x:c r="T268" s="9" t="str">
        <x:v>c25ed77c53c7c5cfcf728778a0e9b297d8689503f62756a939cbd534ca9b587a</x:v>
      </x:c>
      <x:c r="U268" s="9" t="str">
        <x:v>W_SKIRTS_AVGPAID_1700_1800_ANNUAL2026</x:v>
      </x:c>
      <x:c r="V268" s="9" t="str">
        <x:v>W_SKIRTS_AVGPAID_1700_1800_ANNUAL2026.xlsx / 默认 / 第475行 / SHA256 c25ed77c53c7c5cfcf728778a0e9b297d8689503f62756a939cbd534ca9b587a</x:v>
      </x:c>
    </x:row>
    <x:row r="269" ht="58" customHeight="1">
      <x:c r="A269" s="23" t="str">
        <x:v>1004618412502</x:v>
      </x:c>
      <x:c r="B269" s="22"/>
      <x:c r="C269" s="22"/>
      <x:c r="D269" s="22"/>
      <x:c r="E269" s="9" t="str">
        <x:v>裙长未明确</x:v>
      </x:c>
      <x:c r="F269" s="9" t="str">
        <x:v>裙装</x:v>
      </x:c>
      <x:c r="G269" s="9" t="str">
        <x:v>半身裙</x:v>
      </x:c>
      <x:c r="H269" s="9" t="str">
        <x:v>女</x:v>
      </x:c>
      <x:c r="I269" s="9" t="str">
        <x:v>edition金色腰链醋酸不规则伞裙</x:v>
      </x:c>
      <x:c r="J269" s="9" t="str">
        <x:v>EDITION</x:v>
      </x:c>
      <x:c r="K269" s="24" t="n">
        <x:v>1719.7</x:v>
      </x:c>
      <x:c r="L269" s="25" t="e">
        <x:f>HYPERLINK("https://item.taobao.com/item.htm?id=1004618412502","打开商品")</x:f>
        <x:v>HYPERLINK is not implemented. linkLocation=https://item.taobao.com/item.htm?id=1004618412502, friendlyName=打开商品</x:v>
      </x:c>
      <x:c r="M269" s="25" t="e">
        <x:f>HYPERLINK("https://data.zhiyitech.cn/itemDetail/overview/base?itemId=1004618412502","打开知衣")</x:f>
        <x:v>HYPERLINK is not implemented. linkLocation=https://data.zhiyitech.cn/itemDetail/overview/base?itemId=1004618412502, friendlyName=打开知衣</x:v>
      </x:c>
      <x:c r="N269" s="25" t="e">
        <x:f>HYPERLINK("https://img.alicdn.com/bao/uploaded/i1/2072092771/O1CN01szfztL1WLAdRGqNcA_!!2072092771.jpg","查看主图")</x:f>
        <x:v>HYPERLINK is not implemented. linkLocation=https://img.alicdn.com/bao/uploaded/i1/2072092771/O1CN01szfztL1WLAdRGqNcA_!!2072092771.jpg, friendlyName=查看主图</x:v>
      </x:c>
      <x:c r="O269" s="9" t="str">
        <x:v>标题及既有类目语义复核；edition金色腰链醋酸不规则伞裙；原类目及标题已能确认半身裙；展示使用已知大类，未知裙长下沉到结构字段，不强猜长短。</x:v>
      </x:c>
      <x:c r="P269" s="9" t="str">
        <x:v>普通男女装</x:v>
      </x:c>
      <x:c r="Q269" s="9" t="str">
        <x:v>W_SKIRTS_AVGPAID_1700_1800_ANNUAL2026.xlsx</x:v>
      </x:c>
      <x:c r="R269" s="9" t="str">
        <x:v>默认</x:v>
      </x:c>
      <x:c r="S269" s="9" t="n">
        <x:v>10</x:v>
      </x:c>
      <x:c r="T269" s="9" t="str">
        <x:v>c25ed77c53c7c5cfcf728778a0e9b297d8689503f62756a939cbd534ca9b587a</x:v>
      </x:c>
      <x:c r="U269" s="9" t="str">
        <x:v>W_SKIRTS_AVGPAID_1700_1800_ANNUAL2026</x:v>
      </x:c>
      <x:c r="V269" s="9" t="str">
        <x:v>W_SKIRTS_AVGPAID_1700_1800_ANNUAL2026.xlsx / 默认 / 第10行 / SHA256 c25ed77c53c7c5cfcf728778a0e9b297d8689503f62756a939cbd534ca9b587a</x:v>
      </x:c>
    </x:row>
    <x:row r="270" ht="58" customHeight="1">
      <x:c r="A270" s="23" t="str">
        <x:v>1006273525303</x:v>
      </x:c>
      <x:c r="B270" s="22"/>
      <x:c r="C270" s="22"/>
      <x:c r="D270" s="22"/>
      <x:c r="E270" s="9" t="str">
        <x:v>裙长未明确</x:v>
      </x:c>
      <x:c r="F270" s="9" t="str">
        <x:v>裙装</x:v>
      </x:c>
      <x:c r="G270" s="9" t="str">
        <x:v>半身裙</x:v>
      </x:c>
      <x:c r="H270" s="9" t="str">
        <x:v>女</x:v>
      </x:c>
      <x:c r="I270" s="9" t="str">
        <x:v>edition松紧腰条纹直筒休闲半裙</x:v>
      </x:c>
      <x:c r="J270" s="9" t="str">
        <x:v>EDITION</x:v>
      </x:c>
      <x:c r="K270" s="24" t="n">
        <x:v>1795.15</x:v>
      </x:c>
      <x:c r="L270" s="25" t="e">
        <x:f>HYPERLINK("https://item.taobao.com/item.htm?id=1006273525303","打开商品")</x:f>
        <x:v>HYPERLINK is not implemented. linkLocation=https://item.taobao.com/item.htm?id=1006273525303, friendlyName=打开商品</x:v>
      </x:c>
      <x:c r="M270" s="25" t="e">
        <x:f>HYPERLINK("https://data.zhiyitech.cn/itemDetail/overview/base?itemId=1006273525303","打开知衣")</x:f>
        <x:v>HYPERLINK is not implemented. linkLocation=https://data.zhiyitech.cn/itemDetail/overview/base?itemId=1006273525303, friendlyName=打开知衣</x:v>
      </x:c>
      <x:c r="N270" s="25" t="e">
        <x:f>HYPERLINK("https://img.alicdn.com/bao/uploaded/i1/2072092771/O1CN01oyqsTKbIbqL1chua_!!2072092771.jpg","查看主图")</x:f>
        <x:v>HYPERLINK is not implemented. linkLocation=https://img.alicdn.com/bao/uploaded/i1/2072092771/O1CN01oyqsTKbIbqL1chua_!!2072092771.jpg, friendlyName=查看主图</x:v>
      </x:c>
      <x:c r="O270" s="9" t="str">
        <x:v>标题及既有类目语义复核；edition松紧腰条纹直筒休闲半裙；原类目及标题已能确认半身裙；展示使用已知大类，未知裙长下沉到结构字段，不强猜长短。</x:v>
      </x:c>
      <x:c r="P270" s="9" t="str">
        <x:v>普通男女装</x:v>
      </x:c>
      <x:c r="Q270" s="9" t="str">
        <x:v>W_SKIRTS_AVGPAID_1700_1800_ANNUAL2026.xlsx</x:v>
      </x:c>
      <x:c r="R270" s="9" t="str">
        <x:v>默认</x:v>
      </x:c>
      <x:c r="S270" s="9" t="n">
        <x:v>257</x:v>
      </x:c>
      <x:c r="T270" s="9" t="str">
        <x:v>c25ed77c53c7c5cfcf728778a0e9b297d8689503f62756a939cbd534ca9b587a</x:v>
      </x:c>
      <x:c r="U270" s="9" t="str">
        <x:v>W_SKIRTS_AVGPAID_1700_1800_ANNUAL2026</x:v>
      </x:c>
      <x:c r="V270" s="9" t="str">
        <x:v>W_SKIRTS_AVGPAID_1700_1800_ANNUAL2026.xlsx / 默认 / 第257行 / SHA256 c25ed77c53c7c5cfcf728778a0e9b297d8689503f62756a939cbd534ca9b587a</x:v>
      </x:c>
    </x:row>
    <x:row r="271" ht="58" customHeight="1">
      <x:c r="A271" s="23" t="str">
        <x:v>1008214883080</x:v>
      </x:c>
      <x:c r="B271" s="22"/>
      <x:c r="C271" s="22"/>
      <x:c r="D271" s="22"/>
      <x:c r="E271" s="9" t="str">
        <x:v>裙长未明确</x:v>
      </x:c>
      <x:c r="F271" s="9" t="str">
        <x:v>裙装</x:v>
      </x:c>
      <x:c r="G271" s="9" t="str">
        <x:v>半身裙</x:v>
      </x:c>
      <x:c r="H271" s="9" t="str">
        <x:v>女</x:v>
      </x:c>
      <x:c r="I271" s="9" t="str">
        <x:v>edition花苞羊毛西装半裙配腰带</x:v>
      </x:c>
      <x:c r="J271" s="9" t="str">
        <x:v>EDITION</x:v>
      </x:c>
      <x:c r="K271" s="24" t="n">
        <x:v>1769.44</x:v>
      </x:c>
      <x:c r="L271" s="25" t="e">
        <x:f>HYPERLINK("https://item.taobao.com/item.htm?id=1008214883080","打开商品")</x:f>
        <x:v>HYPERLINK is not implemented. linkLocation=https://item.taobao.com/item.htm?id=1008214883080, friendlyName=打开商品</x:v>
      </x:c>
      <x:c r="M271" s="25" t="e">
        <x:f>HYPERLINK("https://data.zhiyitech.cn/itemDetail/overview/base?itemId=1008214883080","打开知衣")</x:f>
        <x:v>HYPERLINK is not implemented. linkLocation=https://data.zhiyitech.cn/itemDetail/overview/base?itemId=1008214883080, friendlyName=打开知衣</x:v>
      </x:c>
      <x:c r="N271" s="25" t="e">
        <x:f>HYPERLINK("https://img.alicdn.com/bao/uploaded/i3/2072092771/O1CN01XP95ZcW7qjD1chua_!!2072092771.jpg","查看主图")</x:f>
        <x:v>HYPERLINK is not implemented. linkLocation=https://img.alicdn.com/bao/uploaded/i3/2072092771/O1CN01XP95ZcW7qjD1chua_!!2072092771.jpg, friendlyName=查看主图</x:v>
      </x:c>
      <x:c r="O271" s="9" t="str">
        <x:v>标题及既有类目语义复核；edition花苞羊毛西装半裙配腰带；原类目及标题已能确认半身裙；展示使用已知大类，未知裙长下沉到结构字段，不强猜长短。</x:v>
      </x:c>
      <x:c r="P271" s="9" t="str">
        <x:v>普通男女装</x:v>
      </x:c>
      <x:c r="Q271" s="9" t="str">
        <x:v>W_SKIRTS_AVGPAID_1700_1800_ANNUAL2026.xlsx</x:v>
      </x:c>
      <x:c r="R271" s="9" t="str">
        <x:v>默认</x:v>
      </x:c>
      <x:c r="S271" s="9" t="n">
        <x:v>191</x:v>
      </x:c>
      <x:c r="T271" s="9" t="str">
        <x:v>c25ed77c53c7c5cfcf728778a0e9b297d8689503f62756a939cbd534ca9b587a</x:v>
      </x:c>
      <x:c r="U271" s="9" t="str">
        <x:v>W_SKIRTS_AVGPAID_1700_1800_ANNUAL2026</x:v>
      </x:c>
      <x:c r="V271" s="9" t="str">
        <x:v>W_SKIRTS_AVGPAID_1700_1800_ANNUAL2026.xlsx / 默认 / 第191行 / SHA256 c25ed77c53c7c5cfcf728778a0e9b297d8689503f62756a939cbd534ca9b587a</x:v>
      </x:c>
    </x:row>
    <x:row r="272" ht="58" customHeight="1">
      <x:c r="A272" s="23" t="str">
        <x:v>1008844750585</x:v>
      </x:c>
      <x:c r="B272" s="22"/>
      <x:c r="C272" s="22"/>
      <x:c r="D272" s="22"/>
      <x:c r="E272" s="9" t="str">
        <x:v>裙长未明确</x:v>
      </x:c>
      <x:c r="F272" s="9" t="str">
        <x:v>裙装</x:v>
      </x:c>
      <x:c r="G272" s="9" t="str">
        <x:v>半身裙</x:v>
      </x:c>
      <x:c r="H272" s="9" t="str">
        <x:v>女</x:v>
      </x:c>
      <x:c r="I272" s="9" t="str">
        <x:v>E+轻生活系列edition2026春季新款蕾丝拼接含丝半身裙EBF1SKT002</x:v>
      </x:c>
      <x:c r="J272" s="9" t="str">
        <x:v>EDITION</x:v>
      </x:c>
      <x:c r="K272" s="24" t="n">
        <x:v>1502.22</x:v>
      </x:c>
      <x:c r="L272" s="25" t="e">
        <x:f>HYPERLINK("https://item.taobao.com/item.htm?id=1008844750585","打开商品")</x:f>
        <x:v>HYPERLINK is not implemented. linkLocation=https://item.taobao.com/item.htm?id=1008844750585, friendlyName=打开商品</x:v>
      </x:c>
      <x:c r="M272" s="25" t="e">
        <x:f>HYPERLINK("https://data.zhiyitech.cn/itemDetail/overview/base?itemId=1008844750585","打开知衣")</x:f>
        <x:v>HYPERLINK is not implemented. linkLocation=https://data.zhiyitech.cn/itemDetail/overview/base?itemId=1008844750585, friendlyName=打开知衣</x:v>
      </x:c>
      <x:c r="N272" s="25" t="e">
        <x:f>HYPERLINK("https://img.alicdn.com/bao/uploaded/i3/2072092771/O1CN019DboYcvCmfH1chua_!!2072092771.jpg","查看主图")</x:f>
        <x:v>HYPERLINK is not implemented. linkLocation=https://img.alicdn.com/bao/uploaded/i3/2072092771/O1CN019DboYcvCmfH1chua_!!2072092771.jpg, friendlyName=查看主图</x:v>
      </x:c>
      <x:c r="O272" s="9" t="str">
        <x:v>标题及既有类目语义复核；E+轻生活系列edition2026春季新款蕾丝拼接含丝半身裙EBF1SKT002；原类目及标题已能确认半身裙；展示使用已知大类，未知裙长下沉到结构字段，不强猜长短。</x:v>
      </x:c>
      <x:c r="P272" s="9" t="str">
        <x:v>普通男女装</x:v>
      </x:c>
      <x:c r="Q272" s="9" t="str">
        <x:v>W_SKIRTS_AVGPAID_1500_1600_ANNUAL2026.xlsx</x:v>
      </x:c>
      <x:c r="R272" s="9" t="str">
        <x:v>默认</x:v>
      </x:c>
      <x:c r="S272" s="9" t="n">
        <x:v>47</x:v>
      </x:c>
      <x:c r="T272" s="9" t="str">
        <x:v>deede8b56943df4f914be45dba170f12e69064023d6ef0e88dbde1764f6ba23e</x:v>
      </x:c>
      <x:c r="U272" s="9" t="str">
        <x:v>W_SKIRTS_AVGPAID_1500_1600_ANNUAL2026</x:v>
      </x:c>
      <x:c r="V272" s="9" t="str">
        <x:v>W_SKIRTS_AVGPAID_1500_1600_ANNUAL2026.xlsx / 默认 / 第47行 / SHA256 deede8b56943df4f914be45dba170f12e69064023d6ef0e88dbde1764f6ba23e</x:v>
      </x:c>
    </x:row>
    <x:row r="273" ht="58" customHeight="1">
      <x:c r="A273" s="23" t="str">
        <x:v>1012206955675</x:v>
      </x:c>
      <x:c r="B273" s="22"/>
      <x:c r="C273" s="22"/>
      <x:c r="D273" s="22"/>
      <x:c r="E273" s="9" t="str">
        <x:v>裙长未明确</x:v>
      </x:c>
      <x:c r="F273" s="9" t="str">
        <x:v>裙装</x:v>
      </x:c>
      <x:c r="G273" s="9" t="str">
        <x:v>半身裙</x:v>
      </x:c>
      <x:c r="H273" s="9" t="str">
        <x:v>女</x:v>
      </x:c>
      <x:c r="I273" s="9" t="str">
        <x:v>edition白玉兰绣花鱼尾醋酸半裙</x:v>
      </x:c>
      <x:c r="J273" s="9" t="str">
        <x:v>EDITION</x:v>
      </x:c>
      <x:c r="K273" s="24" t="n">
        <x:v>1389.64</x:v>
      </x:c>
      <x:c r="L273" s="25" t="e">
        <x:f>HYPERLINK("https://item.taobao.com/item.htm?id=1012206955675","打开商品")</x:f>
        <x:v>HYPERLINK is not implemented. linkLocation=https://item.taobao.com/item.htm?id=1012206955675, friendlyName=打开商品</x:v>
      </x:c>
      <x:c r="M273" s="25" t="e">
        <x:f>HYPERLINK("https://data.zhiyitech.cn/itemDetail/overview/base?itemId=1012206955675","打开知衣")</x:f>
        <x:v>HYPERLINK is not implemented. linkLocation=https://data.zhiyitech.cn/itemDetail/overview/base?itemId=1012206955675, friendlyName=打开知衣</x:v>
      </x:c>
      <x:c r="N273" s="25" t="e">
        <x:f>HYPERLINK("https://img.alicdn.com/bao/uploaded/i2/2072092771/O1CN011L17hB1WLAd4AQltu_!!4611686018427379811-0-item_pic.jpg","查看主图")</x:f>
        <x:v>HYPERLINK is not implemented. linkLocation=https://img.alicdn.com/bao/uploaded/i2/2072092771/O1CN011L17hB1WLAd4AQltu_!!4611686018427379811-0-item_pic.jpg, friendlyName=查看主图</x:v>
      </x:c>
      <x:c r="O273" s="9" t="str">
        <x:v>标题及既有类目语义复核；edition白玉兰绣花鱼尾醋酸半裙；原类目及标题已能确认半身裙；展示使用已知大类，未知裙长下沉到结构字段，不强猜长短。</x:v>
      </x:c>
      <x:c r="P273" s="9" t="str">
        <x:v>普通男女装</x:v>
      </x:c>
      <x:c r="Q273" s="9" t="str">
        <x:v>W_SKIRTS_AVGPAID_1300_1400_ANNUAL2026.xlsx</x:v>
      </x:c>
      <x:c r="R273" s="9" t="str">
        <x:v>默认</x:v>
      </x:c>
      <x:c r="S273" s="9" t="n">
        <x:v>88</x:v>
      </x:c>
      <x:c r="T273" s="9" t="str">
        <x:v>bd4dae1e08e9eca7ddd0669235bf59107cdc418b9c2898fc16f36a7ab5748692</x:v>
      </x:c>
      <x:c r="U273" s="9" t="str">
        <x:v>W_SKIRTS_AVGPAID_1300_1400_ANNUAL2026</x:v>
      </x:c>
      <x:c r="V273" s="9" t="str">
        <x:v>W_SKIRTS_AVGPAID_1300_1400_ANNUAL2026.xlsx / 默认 / 第88行 / SHA256 bd4dae1e08e9eca7ddd0669235bf59107cdc418b9c2898fc16f36a7ab5748692</x:v>
      </x:c>
    </x:row>
    <x:row r="274" ht="58" customHeight="1">
      <x:c r="A274" s="23" t="str">
        <x:v>1015814543736</x:v>
      </x:c>
      <x:c r="B274" s="22"/>
      <x:c r="C274" s="22"/>
      <x:c r="D274" s="22"/>
      <x:c r="E274" s="9" t="str">
        <x:v>裙长未明确</x:v>
      </x:c>
      <x:c r="F274" s="9" t="str">
        <x:v>裙装</x:v>
      </x:c>
      <x:c r="G274" s="9" t="str">
        <x:v>半身裙</x:v>
      </x:c>
      <x:c r="H274" s="9" t="str">
        <x:v>女</x:v>
      </x:c>
      <x:c r="I274" s="9" t="str">
        <x:v>edition牛仔半裙女2026夏季新款丝棉牛仔浪漫A字伞半裙EBF2SKT028</x:v>
      </x:c>
      <x:c r="J274" s="9" t="str">
        <x:v>EDITION</x:v>
      </x:c>
      <x:c r="K274" s="24" t="n">
        <x:v>1397.37</x:v>
      </x:c>
      <x:c r="L274" s="25" t="e">
        <x:f>HYPERLINK("https://item.taobao.com/item.htm?id=1015814543736","打开商品")</x:f>
        <x:v>HYPERLINK is not implemented. linkLocation=https://item.taobao.com/item.htm?id=1015814543736, friendlyName=打开商品</x:v>
      </x:c>
      <x:c r="M274" s="25" t="e">
        <x:f>HYPERLINK("https://data.zhiyitech.cn/itemDetail/overview/base?itemId=1015814543736","打开知衣")</x:f>
        <x:v>HYPERLINK is not implemented. linkLocation=https://data.zhiyitech.cn/itemDetail/overview/base?itemId=1015814543736, friendlyName=打开知衣</x:v>
      </x:c>
      <x:c r="N274" s="25" t="e">
        <x:f>HYPERLINK("https://img.alicdn.com/bao/uploaded/i1/2072092771/O1CN01IXEyRJ4rJ8L1chua_!!2072092771.jpg","查看主图")</x:f>
        <x:v>HYPERLINK is not implemented. linkLocation=https://img.alicdn.com/bao/uploaded/i1/2072092771/O1CN01IXEyRJ4rJ8L1chua_!!2072092771.jpg, friendlyName=查看主图</x:v>
      </x:c>
      <x:c r="O274" s="9" t="str">
        <x:v>标题及既有类目语义复核；edition牛仔半裙女2026夏季新款丝棉牛仔浪漫A字伞半裙EBF2SKT028；原类目及标题已能确认半身裙；展示使用已知大类，未知裙长下沉到结构字段，不强猜长短。</x:v>
      </x:c>
      <x:c r="P274" s="9" t="str">
        <x:v>普通男女装</x:v>
      </x:c>
      <x:c r="Q274" s="9" t="str">
        <x:v>W_SKIRTS_AVGPAID_1300_1400_ANNUAL2026.xlsx</x:v>
      </x:c>
      <x:c r="R274" s="9" t="str">
        <x:v>默认</x:v>
      </x:c>
      <x:c r="S274" s="9" t="n">
        <x:v>37</x:v>
      </x:c>
      <x:c r="T274" s="9" t="str">
        <x:v>bd4dae1e08e9eca7ddd0669235bf59107cdc418b9c2898fc16f36a7ab5748692</x:v>
      </x:c>
      <x:c r="U274" s="9" t="str">
        <x:v>W_SKIRTS_AVGPAID_1300_1400_ANNUAL2026</x:v>
      </x:c>
      <x:c r="V274" s="9" t="str">
        <x:v>W_SKIRTS_AVGPAID_1300_1400_ANNUAL2026.xlsx / 默认 / 第37行 / SHA256 bd4dae1e08e9eca7ddd0669235bf59107cdc418b9c2898fc16f36a7ab5748692</x:v>
      </x:c>
    </x:row>
    <x:row r="275" ht="58" customHeight="1">
      <x:c r="A275" s="23" t="str">
        <x:v>1034412178535</x:v>
      </x:c>
      <x:c r="B275" s="22"/>
      <x:c r="C275" s="22"/>
      <x:c r="D275" s="22"/>
      <x:c r="E275" s="9" t="str">
        <x:v>裙长未明确</x:v>
      </x:c>
      <x:c r="F275" s="9" t="str">
        <x:v>裙装</x:v>
      </x:c>
      <x:c r="G275" s="9" t="str">
        <x:v>半身裙</x:v>
      </x:c>
      <x:c r="H275" s="9" t="str">
        <x:v>女</x:v>
      </x:c>
      <x:c r="I275" s="9" t="str">
        <x:v>edition半身裙女2025夏季新款拼接皮腰头印花长半裙EBE2SKT018</x:v>
      </x:c>
      <x:c r="J275" s="9" t="str">
        <x:v>EDITION</x:v>
      </x:c>
      <x:c r="K275" s="24" t="n">
        <x:v>1755.4</x:v>
      </x:c>
      <x:c r="L275" s="25" t="e">
        <x:f>HYPERLINK("https://item.taobao.com/item.htm?id=1034412178535","打开商品")</x:f>
        <x:v>HYPERLINK is not implemented. linkLocation=https://item.taobao.com/item.htm?id=1034412178535, friendlyName=打开商品</x:v>
      </x:c>
      <x:c r="M275" s="25" t="e">
        <x:f>HYPERLINK("https://data.zhiyitech.cn/itemDetail/overview/base?itemId=1034412178535","打开知衣")</x:f>
        <x:v>HYPERLINK is not implemented. linkLocation=https://data.zhiyitech.cn/itemDetail/overview/base?itemId=1034412178535, friendlyName=打开知衣</x:v>
      </x:c>
      <x:c r="N275" s="25" t="e">
        <x:f>HYPERLINK("https://img.alicdn.com/bao/uploaded/i3/2206608281880/O1CN016GgxUVVXlLB1chua_!!2206608281880.jpg","查看主图")</x:f>
        <x:v>HYPERLINK is not implemented. linkLocation=https://img.alicdn.com/bao/uploaded/i3/2206608281880/O1CN016GgxUVVXlLB1chua_!!2206608281880.jpg, friendlyName=查看主图</x:v>
      </x:c>
      <x:c r="O275" s="9" t="str">
        <x:v>标题及既有类目语义复核；edition半身裙女2025夏季新款拼接皮腰头印花长半裙EBE2SKT018；原类目及标题已能确认半身裙；展示使用已知大类，未知裙长下沉到结构字段，不强猜长短。</x:v>
      </x:c>
      <x:c r="P275" s="9" t="str">
        <x:v>普通男女装</x:v>
      </x:c>
      <x:c r="Q275" s="9" t="str">
        <x:v>W_SKIRTS_AVGPAID_1700_1800_ANNUAL2026.xlsx</x:v>
      </x:c>
      <x:c r="R275" s="9" t="str">
        <x:v>默认</x:v>
      </x:c>
      <x:c r="S275" s="9" t="n">
        <x:v>378</x:v>
      </x:c>
      <x:c r="T275" s="9" t="str">
        <x:v>c25ed77c53c7c5cfcf728778a0e9b297d8689503f62756a939cbd534ca9b587a</x:v>
      </x:c>
      <x:c r="U275" s="9" t="str">
        <x:v>W_SKIRTS_AVGPAID_1700_1800_ANNUAL2026</x:v>
      </x:c>
      <x:c r="V275" s="9" t="str">
        <x:v>W_SKIRTS_AVGPAID_1700_1800_ANNUAL2026.xlsx / 默认 / 第378行 / SHA256 c25ed77c53c7c5cfcf728778a0e9b297d8689503f62756a939cbd534ca9b587a</x:v>
      </x:c>
    </x:row>
    <x:row r="276" ht="58" customHeight="1">
      <x:c r="A276" s="23" t="str">
        <x:v>1037101248999</x:v>
      </x:c>
      <x:c r="B276" s="22"/>
      <x:c r="C276" s="22"/>
      <x:c r="D276" s="22"/>
      <x:c r="E276" s="9" t="str">
        <x:v>裙长未明确</x:v>
      </x:c>
      <x:c r="F276" s="9" t="str">
        <x:v>裙装</x:v>
      </x:c>
      <x:c r="G276" s="9" t="str">
        <x:v>半身裙</x:v>
      </x:c>
      <x:c r="H276" s="9" t="str">
        <x:v>女</x:v>
      </x:c>
      <x:c r="I276" s="9" t="str">
        <x:v>【七七酱直播间】edition× SEA 联名系列度假碎花半裙EBE3SKT054</x:v>
      </x:c>
      <x:c r="J276" s="9" t="str">
        <x:v>EDITION</x:v>
      </x:c>
      <x:c r="K276" s="24" t="n">
        <x:v>1385.62</x:v>
      </x:c>
      <x:c r="L276" s="25" t="e">
        <x:f>HYPERLINK("https://item.taobao.com/item.htm?id=1037101248999","打开商品")</x:f>
        <x:v>HYPERLINK is not implemented. linkLocation=https://item.taobao.com/item.htm?id=1037101248999, friendlyName=打开商品</x:v>
      </x:c>
      <x:c r="M276" s="25" t="e">
        <x:f>HYPERLINK("https://data.zhiyitech.cn/itemDetail/overview/base?itemId=1037101248999","打开知衣")</x:f>
        <x:v>HYPERLINK is not implemented. linkLocation=https://data.zhiyitech.cn/itemDetail/overview/base?itemId=1037101248999, friendlyName=打开知衣</x:v>
      </x:c>
      <x:c r="N276" s="25" t="e">
        <x:f>HYPERLINK("https://img.alicdn.com/bao/uploaded/i3/2072092771/O1CN01Ly6anx1WLAdQmZ99z_!!4611686018427379811-0-item_pic.jpg","查看主图")</x:f>
        <x:v>HYPERLINK is not implemented. linkLocation=https://img.alicdn.com/bao/uploaded/i3/2072092771/O1CN01Ly6anx1WLAdQmZ99z_!!4611686018427379811-0-item_pic.jpg, friendlyName=查看主图</x:v>
      </x:c>
      <x:c r="O276" s="9" t="str">
        <x:v>标题及既有类目语义复核；【七七酱直播间】edition× SEA 联名系列度假碎花半裙EBE3SKT054；原类目及标题已能确认半身裙；展示使用已知大类，未知裙长下沉到结构字段，不强猜长短。</x:v>
      </x:c>
      <x:c r="P276" s="9" t="str">
        <x:v>普通男女装</x:v>
      </x:c>
      <x:c r="Q276" s="9" t="str">
        <x:v>W_SKIRTS_AVGPAID_1300_1400_ANNUAL2026.xlsx</x:v>
      </x:c>
      <x:c r="R276" s="9" t="str">
        <x:v>默认</x:v>
      </x:c>
      <x:c r="S276" s="9" t="n">
        <x:v>124</x:v>
      </x:c>
      <x:c r="T276" s="9" t="str">
        <x:v>bd4dae1e08e9eca7ddd0669235bf59107cdc418b9c2898fc16f36a7ab5748692</x:v>
      </x:c>
      <x:c r="U276" s="9" t="str">
        <x:v>W_SKIRTS_AVGPAID_1300_1400_ANNUAL2026</x:v>
      </x:c>
      <x:c r="V276" s="9" t="str">
        <x:v>W_SKIRTS_AVGPAID_1300_1400_ANNUAL2026.xlsx / 默认 / 第124行 / SHA256 bd4dae1e08e9eca7ddd0669235bf59107cdc418b9c2898fc16f36a7ab5748692</x:v>
      </x:c>
    </x:row>
    <x:row r="277" ht="58" customHeight="1">
      <x:c r="A277" s="23" t="str">
        <x:v>1038490831939</x:v>
      </x:c>
      <x:c r="B277" s="22"/>
      <x:c r="C277" s="22"/>
      <x:c r="D277" s="22"/>
      <x:c r="E277" s="9" t="str">
        <x:v>裙长未明确</x:v>
      </x:c>
      <x:c r="F277" s="9" t="str">
        <x:v>裙装</x:v>
      </x:c>
      <x:c r="G277" s="9" t="str">
        <x:v>半身裙</x:v>
      </x:c>
      <x:c r="H277" s="9" t="str">
        <x:v>女</x:v>
      </x:c>
      <x:c r="I277" s="9" t="str">
        <x:v>EBF2SKT026 2399专柜正品2026夏款4B休闲半身裙</x:v>
      </x:c>
      <x:c r="J277" s="9" t="str">
        <x:v>EDITION</x:v>
      </x:c>
      <x:c r="K277" s="24" t="n">
        <x:v>1700.13</x:v>
      </x:c>
      <x:c r="L277" s="25" t="e">
        <x:f>HYPERLINK("https://item.taobao.com/item.htm?id=1038490831939","打开商品")</x:f>
        <x:v>HYPERLINK is not implemented. linkLocation=https://item.taobao.com/item.htm?id=1038490831939, friendlyName=打开商品</x:v>
      </x:c>
      <x:c r="M277" s="25" t="e">
        <x:f>HYPERLINK("https://data.zhiyitech.cn/itemDetail/overview/base?itemId=1038490831939","打开知衣")</x:f>
        <x:v>HYPERLINK is not implemented. linkLocation=https://data.zhiyitech.cn/itemDetail/overview/base?itemId=1038490831939, friendlyName=打开知衣</x:v>
      </x:c>
      <x:c r="N277" s="25" t="e">
        <x:f>HYPERLINK("https://img.alicdn.com/bao/uploaded/i1/249580110/O1CN01ZAVBXi1CgQhPDLnVh_!!249580110.jpg","查看主图")</x:f>
        <x:v>HYPERLINK is not implemented. linkLocation=https://img.alicdn.com/bao/uploaded/i1/249580110/O1CN01ZAVBXi1CgQhPDLnVh_!!249580110.jpg, friendlyName=查看主图</x:v>
      </x:c>
      <x:c r="O277" s="9" t="str">
        <x:v>标题及既有类目语义复核；EBF2SKT026 2399专柜正品2026夏款4B休闲半身裙；原类目及标题已能确认半身裙；展示使用已知大类，未知裙长下沉到结构字段，不强猜长短。</x:v>
      </x:c>
      <x:c r="P277" s="9" t="str">
        <x:v>普通男女装</x:v>
      </x:c>
      <x:c r="Q277" s="9" t="str">
        <x:v>W_SKIRTS_AVGPAID_1700_1800_ANNUAL2026.xlsx</x:v>
      </x:c>
      <x:c r="R277" s="9" t="str">
        <x:v>默认</x:v>
      </x:c>
      <x:c r="S277" s="9" t="n">
        <x:v>428</x:v>
      </x:c>
      <x:c r="T277" s="9" t="str">
        <x:v>c25ed77c53c7c5cfcf728778a0e9b297d8689503f62756a939cbd534ca9b587a</x:v>
      </x:c>
      <x:c r="U277" s="9" t="str">
        <x:v>W_SKIRTS_AVGPAID_1700_1800_ANNUAL2026</x:v>
      </x:c>
      <x:c r="V277" s="9" t="str">
        <x:v>W_SKIRTS_AVGPAID_1700_1800_ANNUAL2026.xlsx / 默认 / 第428行 / SHA256 c25ed77c53c7c5cfcf728778a0e9b297d8689503f62756a939cbd534ca9b587a</x:v>
      </x:c>
    </x:row>
    <x:row r="278" ht="58" customHeight="1">
      <x:c r="A278" s="23" t="str">
        <x:v>1041845631116</x:v>
      </x:c>
      <x:c r="B278" s="22"/>
      <x:c r="C278" s="22"/>
      <x:c r="D278" s="22"/>
      <x:c r="E278" s="9" t="str">
        <x:v>裙长未明确</x:v>
      </x:c>
      <x:c r="F278" s="9" t="str">
        <x:v>裙装</x:v>
      </x:c>
      <x:c r="G278" s="9" t="str">
        <x:v>半身裙</x:v>
      </x:c>
      <x:c r="H278" s="9" t="str">
        <x:v>女</x:v>
      </x:c>
      <x:c r="I278" s="9" t="str">
        <x:v>【奥莱独享】高圆圆同款edition × SEA联名系列波嬉风绣花半裙</x:v>
      </x:c>
      <x:c r="J278" s="9" t="str">
        <x:v>EDITION</x:v>
      </x:c>
      <x:c r="K278" s="24" t="n">
        <x:v>1741.68</x:v>
      </x:c>
      <x:c r="L278" s="25" t="e">
        <x:f>HYPERLINK("https://item.taobao.com/item.htm?id=1041845631116","打开商品")</x:f>
        <x:v>HYPERLINK is not implemented. linkLocation=https://item.taobao.com/item.htm?id=1041845631116, friendlyName=打开商品</x:v>
      </x:c>
      <x:c r="M278" s="25" t="e">
        <x:f>HYPERLINK("https://data.zhiyitech.cn/itemDetail/overview/base?itemId=1041845631116","打开知衣")</x:f>
        <x:v>HYPERLINK is not implemented. linkLocation=https://data.zhiyitech.cn/itemDetail/overview/base?itemId=1041845631116, friendlyName=打开知衣</x:v>
      </x:c>
      <x:c r="N278" s="25" t="e">
        <x:f>HYPERLINK("https://img.alicdn.com/bao/uploaded/i3/2206608281880/O1CN01HFl87AP4xQG1chua_!!2206608281880.jpg","查看主图")</x:f>
        <x:v>HYPERLINK is not implemented. linkLocation=https://img.alicdn.com/bao/uploaded/i3/2206608281880/O1CN01HFl87AP4xQG1chua_!!2206608281880.jpg, friendlyName=查看主图</x:v>
      </x:c>
      <x:c r="O278" s="9" t="str">
        <x:v>标题及既有类目语义复核；【奥莱独享】高圆圆同款edition × SEA联名系列波嬉风绣花半裙；原类目及标题已能确认半身裙；展示使用已知大类，未知裙长下沉到结构字段，不强猜长短。</x:v>
      </x:c>
      <x:c r="P278" s="9" t="str">
        <x:v>普通男女装</x:v>
      </x:c>
      <x:c r="Q278" s="9" t="str">
        <x:v>W_SKIRTS_AVGPAID_1700_1800_ANNUAL2026.xlsx</x:v>
      </x:c>
      <x:c r="R278" s="9" t="str">
        <x:v>默认</x:v>
      </x:c>
      <x:c r="S278" s="9" t="n">
        <x:v>399</x:v>
      </x:c>
      <x:c r="T278" s="9" t="str">
        <x:v>c25ed77c53c7c5cfcf728778a0e9b297d8689503f62756a939cbd534ca9b587a</x:v>
      </x:c>
      <x:c r="U278" s="9" t="str">
        <x:v>W_SKIRTS_AVGPAID_1700_1800_ANNUAL2026</x:v>
      </x:c>
      <x:c r="V278" s="9" t="str">
        <x:v>W_SKIRTS_AVGPAID_1700_1800_ANNUAL2026.xlsx / 默认 / 第399行 / SHA256 c25ed77c53c7c5cfcf728778a0e9b297d8689503f62756a939cbd534ca9b587a</x:v>
      </x:c>
    </x:row>
    <x:row r="279" ht="58" customHeight="1">
      <x:c r="A279" s="23" t="str">
        <x:v>1061579217739</x:v>
      </x:c>
      <x:c r="B279" s="22"/>
      <x:c r="C279" s="22"/>
      <x:c r="D279" s="22"/>
      <x:c r="E279" s="9" t="str">
        <x:v>裙长未明确</x:v>
      </x:c>
      <x:c r="F279" s="9" t="str">
        <x:v>裙装</x:v>
      </x:c>
      <x:c r="G279" s="9" t="str">
        <x:v>半身裙</x:v>
      </x:c>
      <x:c r="H279" s="9" t="str">
        <x:v>女</x:v>
      </x:c>
      <x:c r="I279" s="9" t="str">
        <x:v>edition复古工装直筒牛仔半身裙</x:v>
      </x:c>
      <x:c r="J279" s="9" t="str">
        <x:v>EDITION</x:v>
      </x:c>
      <x:c r="K279" s="24" t="n">
        <x:v>1313.1</x:v>
      </x:c>
      <x:c r="L279" s="25" t="e">
        <x:f>HYPERLINK("https://item.taobao.com/item.htm?id=1061579217739","打开商品")</x:f>
        <x:v>HYPERLINK is not implemented. linkLocation=https://item.taobao.com/item.htm?id=1061579217739, friendlyName=打开商品</x:v>
      </x:c>
      <x:c r="M279" s="25" t="e">
        <x:f>HYPERLINK("https://data.zhiyitech.cn/itemDetail/overview/base?itemId=1061579217739","打开知衣")</x:f>
        <x:v>HYPERLINK is not implemented. linkLocation=https://data.zhiyitech.cn/itemDetail/overview/base?itemId=1061579217739, friendlyName=打开知衣</x:v>
      </x:c>
      <x:c r="N279" s="25" t="e">
        <x:f>HYPERLINK("https://img.alicdn.com/bao/uploaded/i4/2072092771/O1CN01RWHKbr3LkwH1chua_!!2072092771.jpg","查看主图")</x:f>
        <x:v>HYPERLINK is not implemented. linkLocation=https://img.alicdn.com/bao/uploaded/i4/2072092771/O1CN01RWHKbr3LkwH1chua_!!2072092771.jpg, friendlyName=查看主图</x:v>
      </x:c>
      <x:c r="O279" s="9" t="str">
        <x:v>标题及既有类目语义复核；edition复古工装直筒牛仔半身裙；原类目及标题已能确认半身裙；展示使用已知大类，未知裙长下沉到结构字段，不强猜长短。</x:v>
      </x:c>
      <x:c r="P279" s="9" t="str">
        <x:v>普通男女装</x:v>
      </x:c>
      <x:c r="Q279" s="9" t="str">
        <x:v>W_SKIRTS_AVGPAID_1300_1400_ANNUAL2026.xlsx</x:v>
      </x:c>
      <x:c r="R279" s="9" t="str">
        <x:v>默认</x:v>
      </x:c>
      <x:c r="S279" s="9" t="n">
        <x:v>205</x:v>
      </x:c>
      <x:c r="T279" s="9" t="str">
        <x:v>bd4dae1e08e9eca7ddd0669235bf59107cdc418b9c2898fc16f36a7ab5748692</x:v>
      </x:c>
      <x:c r="U279" s="9" t="str">
        <x:v>W_SKIRTS_AVGPAID_1300_1400_ANNUAL2026</x:v>
      </x:c>
      <x:c r="V279" s="9" t="str">
        <x:v>W_SKIRTS_AVGPAID_1300_1400_ANNUAL2026.xlsx / 默认 / 第205行 / SHA256 bd4dae1e08e9eca7ddd0669235bf59107cdc418b9c2898fc16f36a7ab5748692</x:v>
      </x:c>
    </x:row>
    <x:row r="280" ht="58" customHeight="1">
      <x:c r="A280" s="23" t="str">
        <x:v>1067734658367</x:v>
      </x:c>
      <x:c r="B280" s="22"/>
      <x:c r="C280" s="22"/>
      <x:c r="D280" s="22"/>
      <x:c r="E280" s="9" t="str">
        <x:v>裙长未明确</x:v>
      </x:c>
      <x:c r="F280" s="9" t="str">
        <x:v>裙装</x:v>
      </x:c>
      <x:c r="G280" s="9" t="str">
        <x:v>半身裙</x:v>
      </x:c>
      <x:c r="H280" s="9" t="str">
        <x:v>女</x:v>
      </x:c>
      <x:c r="I280" s="9" t="str">
        <x:v>【新降】高圆圆同款edition2026新款抽绳直筒格纹半裙EBF3SKT022</x:v>
      </x:c>
      <x:c r="J280" s="9" t="str">
        <x:v>EDITION</x:v>
      </x:c>
      <x:c r="K280" s="24" t="n">
        <x:v>1318.64</x:v>
      </x:c>
      <x:c r="L280" s="25" t="e">
        <x:f>HYPERLINK("https://item.taobao.com/item.htm?id=1067734658367","打开商品")</x:f>
        <x:v>HYPERLINK is not implemented. linkLocation=https://item.taobao.com/item.htm?id=1067734658367, friendlyName=打开商品</x:v>
      </x:c>
      <x:c r="M280" s="25" t="e">
        <x:f>HYPERLINK("https://data.zhiyitech.cn/itemDetail/overview/base?itemId=1067734658367","打开知衣")</x:f>
        <x:v>HYPERLINK is not implemented. linkLocation=https://data.zhiyitech.cn/itemDetail/overview/base?itemId=1067734658367, friendlyName=打开知衣</x:v>
      </x:c>
      <x:c r="N280" s="25" t="e">
        <x:f>HYPERLINK("https://img.alicdn.com/bao/uploaded/i2/2072092771/O1CN01NKNtZf7kAtH1chua_!!4611686018427379811-0-item_pic.jpg","查看主图")</x:f>
        <x:v>HYPERLINK is not implemented. linkLocation=https://img.alicdn.com/bao/uploaded/i2/2072092771/O1CN01NKNtZf7kAtH1chua_!!4611686018427379811-0-item_pic.jpg, friendlyName=查看主图</x:v>
      </x:c>
      <x:c r="O280" s="9" t="str">
        <x:v>标题及既有类目语义复核；【新降】高圆圆同款edition2026新款抽绳直筒格纹半裙EBF3SKT022；原类目及标题已能确认半身裙；展示使用已知大类，未知裙长下沉到结构字段，不强猜长短。</x:v>
      </x:c>
      <x:c r="P280" s="9" t="str">
        <x:v>普通男女装</x:v>
      </x:c>
      <x:c r="Q280" s="9" t="str">
        <x:v>W_SKIRTS_AVGPAID_1300_1400_ANNUAL2026.xlsx</x:v>
      </x:c>
      <x:c r="R280" s="9" t="str">
        <x:v>默认</x:v>
      </x:c>
      <x:c r="S280" s="9" t="n">
        <x:v>81</x:v>
      </x:c>
      <x:c r="T280" s="9" t="str">
        <x:v>bd4dae1e08e9eca7ddd0669235bf59107cdc418b9c2898fc16f36a7ab5748692</x:v>
      </x:c>
      <x:c r="U280" s="9" t="str">
        <x:v>W_SKIRTS_AVGPAID_1300_1400_ANNUAL2026</x:v>
      </x:c>
      <x:c r="V280" s="9" t="str">
        <x:v>W_SKIRTS_AVGPAID_1300_1400_ANNUAL2026.xlsx / 默认 / 第81行 / SHA256 bd4dae1e08e9eca7ddd0669235bf59107cdc418b9c2898fc16f36a7ab5748692</x:v>
      </x:c>
    </x:row>
    <x:row r="281" ht="58" customHeight="1">
      <x:c r="A281" s="23" t="str">
        <x:v>1076168211950</x:v>
      </x:c>
      <x:c r="B281" s="22"/>
      <x:c r="C281" s="22"/>
      <x:c r="D281" s="22"/>
      <x:c r="E281" s="9" t="str">
        <x:v>裙长未明确</x:v>
      </x:c>
      <x:c r="F281" s="9" t="str">
        <x:v>裙装</x:v>
      </x:c>
      <x:c r="G281" s="9" t="str">
        <x:v>半身裙</x:v>
      </x:c>
      <x:c r="H281" s="9" t="str">
        <x:v>女</x:v>
      </x:c>
      <x:c r="I281" s="9" t="str">
        <x:v>edition半身裙女2026冬季新款钩花边蓬蓬半裙配皮腰带EBF4SKT020</x:v>
      </x:c>
      <x:c r="J281" s="9" t="str">
        <x:v>EDITION</x:v>
      </x:c>
      <x:c r="K281" s="24" t="n">
        <x:v>1529.97</x:v>
      </x:c>
      <x:c r="L281" s="25" t="e">
        <x:f>HYPERLINK("https://item.taobao.com/item.htm?id=1076168211950","打开商品")</x:f>
        <x:v>HYPERLINK is not implemented. linkLocation=https://item.taobao.com/item.htm?id=1076168211950, friendlyName=打开商品</x:v>
      </x:c>
      <x:c r="M281" s="25" t="e">
        <x:f>HYPERLINK("https://data.zhiyitech.cn/itemDetail/overview/base?itemId=1076168211950","打开知衣")</x:f>
        <x:v>HYPERLINK is not implemented. linkLocation=https://data.zhiyitech.cn/itemDetail/overview/base?itemId=1076168211950, friendlyName=打开知衣</x:v>
      </x:c>
      <x:c r="N281" s="25" t="e">
        <x:f>HYPERLINK("https://img.alicdn.com/bao/uploaded/i4/2072092771/O1CN01lBWWcgDwndH1chua_!!4611686018427379811-0-item_pic.jpg","查看主图")</x:f>
        <x:v>HYPERLINK is not implemented. linkLocation=https://img.alicdn.com/bao/uploaded/i4/2072092771/O1CN01lBWWcgDwndH1chua_!!4611686018427379811-0-item_pic.jpg, friendlyName=查看主图</x:v>
      </x:c>
      <x:c r="O281" s="9" t="str">
        <x:v>标题及既有类目语义复核；edition半身裙女2026冬季新款钩花边蓬蓬半裙配皮腰带EBF4SKT020；原类目及标题已能确认半身裙；展示使用已知大类，未知裙长下沉到结构字段，不强猜长短。</x:v>
      </x:c>
      <x:c r="P281" s="9" t="str">
        <x:v>普通男女装</x:v>
      </x:c>
      <x:c r="Q281" s="9" t="str">
        <x:v>W_SKIRTS_AVGPAID_1500_1600_ANNUAL2026.xlsx</x:v>
      </x:c>
      <x:c r="R281" s="9" t="str">
        <x:v>默认</x:v>
      </x:c>
      <x:c r="S281" s="9" t="n">
        <x:v>42</x:v>
      </x:c>
      <x:c r="T281" s="9" t="str">
        <x:v>deede8b56943df4f914be45dba170f12e69064023d6ef0e88dbde1764f6ba23e</x:v>
      </x:c>
      <x:c r="U281" s="9" t="str">
        <x:v>W_SKIRTS_AVGPAID_1500_1600_ANNUAL2026</x:v>
      </x:c>
      <x:c r="V281" s="9" t="str">
        <x:v>W_SKIRTS_AVGPAID_1500_1600_ANNUAL2026.xlsx / 默认 / 第42行 / SHA256 deede8b56943df4f914be45dba170f12e69064023d6ef0e88dbde1764f6ba23e</x:v>
      </x:c>
    </x:row>
    <x:row r="282" ht="58" customHeight="1">
      <x:c r="A282" s="23" t="str">
        <x:v>1078110446570</x:v>
      </x:c>
      <x:c r="B282" s="22"/>
      <x:c r="C282" s="22"/>
      <x:c r="D282" s="22"/>
      <x:c r="E282" s="9" t="str">
        <x:v>裙长未明确</x:v>
      </x:c>
      <x:c r="F282" s="9" t="str">
        <x:v>裙装</x:v>
      </x:c>
      <x:c r="G282" s="9" t="str">
        <x:v>半身裙</x:v>
      </x:c>
      <x:c r="H282" s="9" t="str">
        <x:v>女</x:v>
      </x:c>
      <x:c r="I282" s="9" t="str">
        <x:v>【精英衣橱】edition2026冬季新款手工定位压褶半身裙EBF4SKT025</x:v>
      </x:c>
      <x:c r="J282" s="9" t="str">
        <x:v>EDITION</x:v>
      </x:c>
      <x:c r="K282" s="24" t="n">
        <x:v>1756.8</x:v>
      </x:c>
      <x:c r="L282" s="25" t="e">
        <x:f>HYPERLINK("https://item.taobao.com/item.htm?id=1078110446570","打开商品")</x:f>
        <x:v>HYPERLINK is not implemented. linkLocation=https://item.taobao.com/item.htm?id=1078110446570, friendlyName=打开商品</x:v>
      </x:c>
      <x:c r="M282" s="25" t="e">
        <x:f>HYPERLINK("https://data.zhiyitech.cn/itemDetail/overview/base?itemId=1078110446570","打开知衣")</x:f>
        <x:v>HYPERLINK is not implemented. linkLocation=https://data.zhiyitech.cn/itemDetail/overview/base?itemId=1078110446570, friendlyName=打开知衣</x:v>
      </x:c>
      <x:c r="N282" s="25" t="e">
        <x:f>HYPERLINK("https://img.alicdn.com/bao/uploaded/i1/2072092771/O1CN01cI2sUVVyQCH1chua_!!2072092771.jpg","查看主图")</x:f>
        <x:v>HYPERLINK is not implemented. linkLocation=https://img.alicdn.com/bao/uploaded/i1/2072092771/O1CN01cI2sUVVyQCH1chua_!!2072092771.jpg, friendlyName=查看主图</x:v>
      </x:c>
      <x:c r="O282" s="9" t="str">
        <x:v>标题及既有类目语义复核；【精英衣橱】edition2026冬季新款手工定位压褶半身裙EBF4SKT025；原类目及标题已能确认半身裙；展示使用已知大类，未知裙长下沉到结构字段，不强猜长短。</x:v>
      </x:c>
      <x:c r="P282" s="9" t="str">
        <x:v>普通男女装</x:v>
      </x:c>
      <x:c r="Q282" s="9" t="str">
        <x:v>W_SKIRTS_AVGPAID_1700_1800_ANNUAL2026.xlsx</x:v>
      </x:c>
      <x:c r="R282" s="9" t="str">
        <x:v>默认</x:v>
      </x:c>
      <x:c r="S282" s="9" t="n">
        <x:v>337</x:v>
      </x:c>
      <x:c r="T282" s="9" t="str">
        <x:v>c25ed77c53c7c5cfcf728778a0e9b297d8689503f62756a939cbd534ca9b587a</x:v>
      </x:c>
      <x:c r="U282" s="9" t="str">
        <x:v>W_SKIRTS_AVGPAID_1700_1800_ANNUAL2026</x:v>
      </x:c>
      <x:c r="V282" s="9" t="str">
        <x:v>W_SKIRTS_AVGPAID_1700_1800_ANNUAL2026.xlsx / 默认 / 第337行 / SHA256 c25ed77c53c7c5cfcf728778a0e9b297d8689503f62756a939cbd534ca9b587a</x:v>
      </x:c>
    </x:row>
    <x:row r="283" ht="58" customHeight="1">
      <x:c r="A283" s="23" t="str">
        <x:v>1079070236119</x:v>
      </x:c>
      <x:c r="B283" s="22"/>
      <x:c r="C283" s="22"/>
      <x:c r="D283" s="22"/>
      <x:c r="E283" s="9" t="str">
        <x:v>裙长未明确</x:v>
      </x:c>
      <x:c r="F283" s="9" t="str">
        <x:v>裙装</x:v>
      </x:c>
      <x:c r="G283" s="9" t="str">
        <x:v>半身裙</x:v>
      </x:c>
      <x:c r="H283" s="9" t="str">
        <x:v>女</x:v>
      </x:c>
      <x:c r="I283" s="9" t="str">
        <x:v>【文淇同款】edition2026冬季新款复古原色牛仔半身裙EBF4SKT023</x:v>
      </x:c>
      <x:c r="J283" s="9" t="str">
        <x:v>EDITION</x:v>
      </x:c>
      <x:c r="K283" s="24" t="n">
        <x:v>1562.4</x:v>
      </x:c>
      <x:c r="L283" s="25" t="e">
        <x:f>HYPERLINK("https://item.taobao.com/item.htm?id=1079070236119","打开商品")</x:f>
        <x:v>HYPERLINK is not implemented. linkLocation=https://item.taobao.com/item.htm?id=1079070236119, friendlyName=打开商品</x:v>
      </x:c>
      <x:c r="M283" s="25" t="e">
        <x:f>HYPERLINK("https://data.zhiyitech.cn/itemDetail/overview/base?itemId=1079070236119","打开知衣")</x:f>
        <x:v>HYPERLINK is not implemented. linkLocation=https://data.zhiyitech.cn/itemDetail/overview/base?itemId=1079070236119, friendlyName=打开知衣</x:v>
      </x:c>
      <x:c r="N283" s="25" t="e">
        <x:f>HYPERLINK("https://img.alicdn.com/bao/uploaded/i1/2072092771/O1CN01pgaFP24ol9K1chua_!!4611686018427379811-0-item_pic.jpg","查看主图")</x:f>
        <x:v>HYPERLINK is not implemented. linkLocation=https://img.alicdn.com/bao/uploaded/i1/2072092771/O1CN01pgaFP24ol9K1chua_!!4611686018427379811-0-item_pic.jpg, friendlyName=查看主图</x:v>
      </x:c>
      <x:c r="O283" s="9" t="str">
        <x:v>标题及既有类目语义复核；【文淇同款】edition2026冬季新款复古原色牛仔半身裙EBF4SKT023；原类目及标题已能确认半身裙；展示使用已知大类，未知裙长下沉到结构字段，不强猜长短。</x:v>
      </x:c>
      <x:c r="P283" s="9" t="str">
        <x:v>普通男女装</x:v>
      </x:c>
      <x:c r="Q283" s="9" t="str">
        <x:v>W_SKIRTS_AVGPAID_1500_1600_ANNUAL2026.xlsx</x:v>
      </x:c>
      <x:c r="R283" s="9" t="str">
        <x:v>默认</x:v>
      </x:c>
      <x:c r="S283" s="9" t="n">
        <x:v>53</x:v>
      </x:c>
      <x:c r="T283" s="9" t="str">
        <x:v>deede8b56943df4f914be45dba170f12e69064023d6ef0e88dbde1764f6ba23e</x:v>
      </x:c>
      <x:c r="U283" s="9" t="str">
        <x:v>W_SKIRTS_AVGPAID_1500_1600_ANNUAL2026</x:v>
      </x:c>
      <x:c r="V283" s="9" t="str">
        <x:v>W_SKIRTS_AVGPAID_1500_1600_ANNUAL2026.xlsx / 默认 / 第53行 / SHA256 deede8b56943df4f914be45dba170f12e69064023d6ef0e88dbde1764f6ba23e</x:v>
      </x:c>
    </x:row>
    <x:row r="284" ht="58" customHeight="1">
      <x:c r="A284" s="23" t="str">
        <x:v>1079070300029</x:v>
      </x:c>
      <x:c r="B284" s="22"/>
      <x:c r="C284" s="22"/>
      <x:c r="D284" s="22"/>
      <x:c r="E284" s="9" t="str">
        <x:v>裙长未明确</x:v>
      </x:c>
      <x:c r="F284" s="9" t="str">
        <x:v>裙装</x:v>
      </x:c>
      <x:c r="G284" s="9" t="str">
        <x:v>半身裙</x:v>
      </x:c>
      <x:c r="H284" s="9" t="str">
        <x:v>女</x:v>
      </x:c>
      <x:c r="I284" s="9" t="str">
        <x:v>【高圆圆文淇同款】edition2026冬季新款工装A字半身裙EBF4SKT021</x:v>
      </x:c>
      <x:c r="J284" s="9" t="str">
        <x:v>EDITION</x:v>
      </x:c>
      <x:c r="K284" s="24" t="n">
        <x:v>1790.84</x:v>
      </x:c>
      <x:c r="L284" s="25" t="e">
        <x:f>HYPERLINK("https://item.taobao.com/item.htm?id=1079070300029","打开商品")</x:f>
        <x:v>HYPERLINK is not implemented. linkLocation=https://item.taobao.com/item.htm?id=1079070300029, friendlyName=打开商品</x:v>
      </x:c>
      <x:c r="M284" s="25" t="e">
        <x:f>HYPERLINK("https://data.zhiyitech.cn/itemDetail/overview/base?itemId=1079070300029","打开知衣")</x:f>
        <x:v>HYPERLINK is not implemented. linkLocation=https://data.zhiyitech.cn/itemDetail/overview/base?itemId=1079070300029, friendlyName=打开知衣</x:v>
      </x:c>
      <x:c r="N284" s="25" t="e">
        <x:f>HYPERLINK("https://img.alicdn.com/bao/uploaded/i2/2072092771/O1CN01ObHDLBbD89J1chua_!!4611686018427379811-0-item_pic.jpg","查看主图")</x:f>
        <x:v>HYPERLINK is not implemented. linkLocation=https://img.alicdn.com/bao/uploaded/i2/2072092771/O1CN01ObHDLBbD89J1chua_!!4611686018427379811-0-item_pic.jpg, friendlyName=查看主图</x:v>
      </x:c>
      <x:c r="O284" s="9" t="str">
        <x:v>标题及既有类目语义复核；【高圆圆文淇同款】edition2026冬季新款工装A字半身裙EBF4SKT021；原类目及标题已能确认半身裙；展示使用已知大类，未知裙长下沉到结构字段，不强猜长短。</x:v>
      </x:c>
      <x:c r="P284" s="9" t="str">
        <x:v>普通男女装</x:v>
      </x:c>
      <x:c r="Q284" s="9" t="str">
        <x:v>W_SKIRTS_AVGPAID_1700_1800_ANNUAL2026.xlsx</x:v>
      </x:c>
      <x:c r="R284" s="9" t="str">
        <x:v>默认</x:v>
      </x:c>
      <x:c r="S284" s="9" t="n">
        <x:v>24</x:v>
      </x:c>
      <x:c r="T284" s="9" t="str">
        <x:v>c25ed77c53c7c5cfcf728778a0e9b297d8689503f62756a939cbd534ca9b587a</x:v>
      </x:c>
      <x:c r="U284" s="9" t="str">
        <x:v>W_SKIRTS_AVGPAID_1700_1800_ANNUAL2026</x:v>
      </x:c>
      <x:c r="V284" s="9" t="str">
        <x:v>W_SKIRTS_AVGPAID_1700_1800_ANNUAL2026.xlsx / 默认 / 第24行 / SHA256 c25ed77c53c7c5cfcf728778a0e9b297d8689503f62756a939cbd534ca9b587a</x:v>
      </x:c>
    </x:row>
    <x:row r="285" ht="58" customHeight="1">
      <x:c r="A285" s="23" t="str">
        <x:v>811128146465</x:v>
      </x:c>
      <x:c r="B285" s="22"/>
      <x:c r="C285" s="22"/>
      <x:c r="D285" s="22"/>
      <x:c r="E285" s="9" t="str">
        <x:v>裙长未明确</x:v>
      </x:c>
      <x:c r="F285" s="9" t="str">
        <x:v>裙装</x:v>
      </x:c>
      <x:c r="G285" s="9" t="str">
        <x:v>半身裙</x:v>
      </x:c>
      <x:c r="H285" s="9" t="str">
        <x:v>女</x:v>
      </x:c>
      <x:c r="I285" s="9" t="str">
        <x:v>【会员秒杀】edition半身裙女秋粗花呢解构前开衩工装半裙</x:v>
      </x:c>
      <x:c r="J285" s="9" t="str">
        <x:v>EDITION</x:v>
      </x:c>
      <x:c r="K285" s="24" t="n">
        <x:v>1390.63</x:v>
      </x:c>
      <x:c r="L285" s="25" t="e">
        <x:f>HYPERLINK("https://item.taobao.com/item.htm?id=811128146465","打开商品")</x:f>
        <x:v>HYPERLINK is not implemented. linkLocation=https://item.taobao.com/item.htm?id=811128146465, friendlyName=打开商品</x:v>
      </x:c>
      <x:c r="M285" s="25" t="e">
        <x:f>HYPERLINK("https://data.zhiyitech.cn/itemDetail/overview/base?itemId=811128146465","打开知衣")</x:f>
        <x:v>HYPERLINK is not implemented. linkLocation=https://data.zhiyitech.cn/itemDetail/overview/base?itemId=811128146465, friendlyName=打开知衣</x:v>
      </x:c>
      <x:c r="N285" s="25" t="e">
        <x:f>HYPERLINK("https://img.alicdn.com/bao/uploaded/i2/2206608281880/O1CN01escYmqNntnE1chua_!!2206608281880.jpg","查看主图")</x:f>
        <x:v>HYPERLINK is not implemented. linkLocation=https://img.alicdn.com/bao/uploaded/i2/2206608281880/O1CN01escYmqNntnE1chua_!!2206608281880.jpg, friendlyName=查看主图</x:v>
      </x:c>
      <x:c r="O285" s="9" t="str">
        <x:v>标题及既有类目语义复核；【会员秒杀】edition半身裙女秋粗花呢解构前开衩工装半裙；原类目及标题已能确认半身裙；展示使用已知大类，未知裙长下沉到结构字段，不强猜长短。</x:v>
      </x:c>
      <x:c r="P285" s="9" t="str">
        <x:v>普通男女装</x:v>
      </x:c>
      <x:c r="Q285" s="9" t="str">
        <x:v>W_SKIRTS_AVGPAID_1300_1400_ANNUAL2026.xlsx</x:v>
      </x:c>
      <x:c r="R285" s="9" t="str">
        <x:v>默认</x:v>
      </x:c>
      <x:c r="S285" s="9" t="n">
        <x:v>427</x:v>
      </x:c>
      <x:c r="T285" s="9" t="str">
        <x:v>bd4dae1e08e9eca7ddd0669235bf59107cdc418b9c2898fc16f36a7ab5748692</x:v>
      </x:c>
      <x:c r="U285" s="9" t="str">
        <x:v>W_SKIRTS_AVGPAID_1300_1400_ANNUAL2026</x:v>
      </x:c>
      <x:c r="V285" s="9" t="str">
        <x:v>W_SKIRTS_AVGPAID_1300_1400_ANNUAL2026.xlsx / 默认 / 第427行 / SHA256 bd4dae1e08e9eca7ddd0669235bf59107cdc418b9c2898fc16f36a7ab5748692</x:v>
      </x:c>
    </x:row>
    <x:row r="286" ht="58" customHeight="1">
      <x:c r="A286" s="23" t="str">
        <x:v>867086598196</x:v>
      </x:c>
      <x:c r="B286" s="22"/>
      <x:c r="C286" s="22"/>
      <x:c r="D286" s="22"/>
      <x:c r="E286" s="9" t="str">
        <x:v>裙长未明确</x:v>
      </x:c>
      <x:c r="F286" s="9" t="str">
        <x:v>裙装</x:v>
      </x:c>
      <x:c r="G286" s="9" t="str">
        <x:v>半身裙</x:v>
      </x:c>
      <x:c r="H286" s="9" t="str">
        <x:v>女</x:v>
      </x:c>
      <x:c r="I286" s="9" t="str">
        <x:v>edition半身裙女2025春季新款西装百褶长半裙配腰包EBE1SKT036</x:v>
      </x:c>
      <x:c r="J286" s="9" t="str">
        <x:v>EDITION</x:v>
      </x:c>
      <x:c r="K286" s="24" t="n">
        <x:v>1383.3</x:v>
      </x:c>
      <x:c r="L286" s="25" t="e">
        <x:f>HYPERLINK("https://item.taobao.com/item.htm?id=867086598196","打开商品")</x:f>
        <x:v>HYPERLINK is not implemented. linkLocation=https://item.taobao.com/item.htm?id=867086598196, friendlyName=打开商品</x:v>
      </x:c>
      <x:c r="M286" s="25" t="e">
        <x:f>HYPERLINK("https://data.zhiyitech.cn/itemDetail/overview/base?itemId=867086598196","打开知衣")</x:f>
        <x:v>HYPERLINK is not implemented. linkLocation=https://data.zhiyitech.cn/itemDetail/overview/base?itemId=867086598196, friendlyName=打开知衣</x:v>
      </x:c>
      <x:c r="N286" s="25" t="e">
        <x:f>HYPERLINK("https://img.alicdn.com/bao/uploaded/i2/2072092771/O1CN01jeIi5a9ek4E1chua_!!2072092771.jpg","查看主图")</x:f>
        <x:v>HYPERLINK is not implemented. linkLocation=https://img.alicdn.com/bao/uploaded/i2/2072092771/O1CN01jeIi5a9ek4E1chua_!!2072092771.jpg, friendlyName=查看主图</x:v>
      </x:c>
      <x:c r="O286" s="9" t="str">
        <x:v>标题及既有类目语义复核；edition半身裙女2025春季新款西装百褶长半裙配腰包EBE1SKT036；原类目及标题已能确认半身裙；展示使用已知大类，未知裙长下沉到结构字段，不强猜长短。</x:v>
      </x:c>
      <x:c r="P286" s="9" t="str">
        <x:v>普通男女装</x:v>
      </x:c>
      <x:c r="Q286" s="9" t="str">
        <x:v>W_SKIRTS_AVGPAID_1300_1400_ANNUAL2026.xlsx</x:v>
      </x:c>
      <x:c r="R286" s="9" t="str">
        <x:v>默认</x:v>
      </x:c>
      <x:c r="S286" s="9" t="n">
        <x:v>63</x:v>
      </x:c>
      <x:c r="T286" s="9" t="str">
        <x:v>bd4dae1e08e9eca7ddd0669235bf59107cdc418b9c2898fc16f36a7ab5748692</x:v>
      </x:c>
      <x:c r="U286" s="9" t="str">
        <x:v>W_SKIRTS_AVGPAID_1300_1400_ANNUAL2026</x:v>
      </x:c>
      <x:c r="V286" s="9" t="str">
        <x:v>W_SKIRTS_AVGPAID_1300_1400_ANNUAL2026.xlsx / 默认 / 第63行 / SHA256 bd4dae1e08e9eca7ddd0669235bf59107cdc418b9c2898fc16f36a7ab5748692</x:v>
      </x:c>
    </x:row>
    <x:row r="287" ht="58" customHeight="1">
      <x:c r="A287" s="23" t="str">
        <x:v>904082412629</x:v>
      </x:c>
      <x:c r="B287" s="22"/>
      <x:c r="C287" s="22"/>
      <x:c r="D287" s="22"/>
      <x:c r="E287" s="9" t="str">
        <x:v>裙长未明确</x:v>
      </x:c>
      <x:c r="F287" s="9" t="str">
        <x:v>裙装</x:v>
      </x:c>
      <x:c r="G287" s="9" t="str">
        <x:v>半身裙</x:v>
      </x:c>
      <x:c r="H287" s="9" t="str">
        <x:v>女</x:v>
      </x:c>
      <x:c r="I287" s="9" t="str">
        <x:v>edition醋酸缎面A字半裙通勤风</x:v>
      </x:c>
      <x:c r="J287" s="9" t="str">
        <x:v>EDITION</x:v>
      </x:c>
      <x:c r="K287" s="24" t="n">
        <x:v>1320.46</x:v>
      </x:c>
      <x:c r="L287" s="25" t="e">
        <x:f>HYPERLINK("https://item.taobao.com/item.htm?id=904082412629","打开商品")</x:f>
        <x:v>HYPERLINK is not implemented. linkLocation=https://item.taobao.com/item.htm?id=904082412629, friendlyName=打开商品</x:v>
      </x:c>
      <x:c r="M287" s="25" t="e">
        <x:f>HYPERLINK("https://data.zhiyitech.cn/itemDetail/overview/base?itemId=904082412629","打开知衣")</x:f>
        <x:v>HYPERLINK is not implemented. linkLocation=https://data.zhiyitech.cn/itemDetail/overview/base?itemId=904082412629, friendlyName=打开知衣</x:v>
      </x:c>
      <x:c r="N287" s="25" t="e">
        <x:f>HYPERLINK("https://img.alicdn.com/bao/uploaded/i3/2072092771/O1CN01g6roB91WLAdrUIYFY_!!2072092771.jpg","查看主图")</x:f>
        <x:v>HYPERLINK is not implemented. linkLocation=https://img.alicdn.com/bao/uploaded/i3/2072092771/O1CN01g6roB91WLAdrUIYFY_!!2072092771.jpg, friendlyName=查看主图</x:v>
      </x:c>
      <x:c r="O287" s="9" t="str">
        <x:v>标题及既有类目语义复核；edition醋酸缎面A字半裙通勤风；原类目及标题已能确认半身裙；展示使用已知大类，未知裙长下沉到结构字段，不强猜长短。</x:v>
      </x:c>
      <x:c r="P287" s="9" t="str">
        <x:v>普通男女装</x:v>
      </x:c>
      <x:c r="Q287" s="9" t="str">
        <x:v>W_SKIRTS_AVGPAID_1300_1400_ANNUAL2026.xlsx</x:v>
      </x:c>
      <x:c r="R287" s="9" t="str">
        <x:v>默认</x:v>
      </x:c>
      <x:c r="S287" s="9" t="n">
        <x:v>203</x:v>
      </x:c>
      <x:c r="T287" s="9" t="str">
        <x:v>bd4dae1e08e9eca7ddd0669235bf59107cdc418b9c2898fc16f36a7ab5748692</x:v>
      </x:c>
      <x:c r="U287" s="9" t="str">
        <x:v>W_SKIRTS_AVGPAID_1300_1400_ANNUAL2026</x:v>
      </x:c>
      <x:c r="V287" s="9" t="str">
        <x:v>W_SKIRTS_AVGPAID_1300_1400_ANNUAL2026.xlsx / 默认 / 第203行 / SHA256 bd4dae1e08e9eca7ddd0669235bf59107cdc418b9c2898fc16f36a7ab5748692</x:v>
      </x:c>
    </x:row>
    <x:row r="288" ht="58" customHeight="1">
      <x:c r="A288" s="23" t="str">
        <x:v>956599174630</x:v>
      </x:c>
      <x:c r="B288" s="22"/>
      <x:c r="C288" s="22"/>
      <x:c r="D288" s="22"/>
      <x:c r="E288" s="9" t="str">
        <x:v>裙长未明确</x:v>
      </x:c>
      <x:c r="F288" s="9" t="str">
        <x:v>裙装</x:v>
      </x:c>
      <x:c r="G288" s="9" t="str">
        <x:v>半身裙</x:v>
      </x:c>
      <x:c r="H288" s="9" t="str">
        <x:v>女</x:v>
      </x:c>
      <x:c r="I288" s="9" t="str">
        <x:v>edition复古灯芯绒直筒半身裙</x:v>
      </x:c>
      <x:c r="J288" s="9" t="str">
        <x:v>EDITION</x:v>
      </x:c>
      <x:c r="K288" s="24" t="n">
        <x:v>1326.39</x:v>
      </x:c>
      <x:c r="L288" s="25" t="e">
        <x:f>HYPERLINK("https://item.taobao.com/item.htm?id=956599174630","打开商品")</x:f>
        <x:v>HYPERLINK is not implemented. linkLocation=https://item.taobao.com/item.htm?id=956599174630, friendlyName=打开商品</x:v>
      </x:c>
      <x:c r="M288" s="25" t="e">
        <x:f>HYPERLINK("https://data.zhiyitech.cn/itemDetail/overview/base?itemId=956599174630","打开知衣")</x:f>
        <x:v>HYPERLINK is not implemented. linkLocation=https://data.zhiyitech.cn/itemDetail/overview/base?itemId=956599174630, friendlyName=打开知衣</x:v>
      </x:c>
      <x:c r="N288" s="25" t="e">
        <x:f>HYPERLINK("https://img.alicdn.com/bao/uploaded/i2/2072092771/O1CN01yaLAoz7jeeG1chua_!!2072092771.jpg","查看主图")</x:f>
        <x:v>HYPERLINK is not implemented. linkLocation=https://img.alicdn.com/bao/uploaded/i2/2072092771/O1CN01yaLAoz7jeeG1chua_!!2072092771.jpg, friendlyName=查看主图</x:v>
      </x:c>
      <x:c r="O288" s="9" t="str">
        <x:v>标题及既有类目语义复核；edition复古灯芯绒直筒半身裙；原类目及标题已能确认半身裙；展示使用已知大类，未知裙长下沉到结构字段，不强猜长短。</x:v>
      </x:c>
      <x:c r="P288" s="9" t="str">
        <x:v>普通男女装</x:v>
      </x:c>
      <x:c r="Q288" s="9" t="str">
        <x:v>W_SKIRTS_AVGPAID_1300_1400_ANNUAL2026.xlsx</x:v>
      </x:c>
      <x:c r="R288" s="9" t="str">
        <x:v>默认</x:v>
      </x:c>
      <x:c r="S288" s="9" t="n">
        <x:v>139</x:v>
      </x:c>
      <x:c r="T288" s="9" t="str">
        <x:v>bd4dae1e08e9eca7ddd0669235bf59107cdc418b9c2898fc16f36a7ab5748692</x:v>
      </x:c>
      <x:c r="U288" s="9" t="str">
        <x:v>W_SKIRTS_AVGPAID_1300_1400_ANNUAL2026</x:v>
      </x:c>
      <x:c r="V288" s="9" t="str">
        <x:v>W_SKIRTS_AVGPAID_1300_1400_ANNUAL2026.xlsx / 默认 / 第139行 / SHA256 bd4dae1e08e9eca7ddd0669235bf59107cdc418b9c2898fc16f36a7ab5748692</x:v>
      </x:c>
    </x:row>
    <x:row r="289" ht="58" customHeight="1">
      <x:c r="A289" s="23" t="str">
        <x:v>957802208836</x:v>
      </x:c>
      <x:c r="B289" s="22"/>
      <x:c r="C289" s="22"/>
      <x:c r="D289" s="22"/>
      <x:c r="E289" s="9" t="str">
        <x:v>裙长未明确</x:v>
      </x:c>
      <x:c r="F289" s="9" t="str">
        <x:v>裙装</x:v>
      </x:c>
      <x:c r="G289" s="9" t="str">
        <x:v>半身裙</x:v>
      </x:c>
      <x:c r="H289" s="9" t="str">
        <x:v>女</x:v>
      </x:c>
      <x:c r="I289" s="9" t="str">
        <x:v>【高圆圆同款】edition2025秋季新款桑蚕丝不规则半裙EBE3SKT020</x:v>
      </x:c>
      <x:c r="J289" s="9" t="str">
        <x:v>EDITION</x:v>
      </x:c>
      <x:c r="K289" s="24" t="n">
        <x:v>1594.71</x:v>
      </x:c>
      <x:c r="L289" s="25" t="e">
        <x:f>HYPERLINK("https://item.taobao.com/item.htm?id=957802208836","打开商品")</x:f>
        <x:v>HYPERLINK is not implemented. linkLocation=https://item.taobao.com/item.htm?id=957802208836, friendlyName=打开商品</x:v>
      </x:c>
      <x:c r="M289" s="25" t="e">
        <x:f>HYPERLINK("https://data.zhiyitech.cn/itemDetail/overview/base?itemId=957802208836","打开知衣")</x:f>
        <x:v>HYPERLINK is not implemented. linkLocation=https://data.zhiyitech.cn/itemDetail/overview/base?itemId=957802208836, friendlyName=打开知衣</x:v>
      </x:c>
      <x:c r="N289" s="25" t="e">
        <x:f>HYPERLINK("https://img.alicdn.com/bao/uploaded/i3/2072092771/O1CN01l39HFmo8QuF1chua_!!2072092771.jpg","查看主图")</x:f>
        <x:v>HYPERLINK is not implemented. linkLocation=https://img.alicdn.com/bao/uploaded/i3/2072092771/O1CN01l39HFmo8QuF1chua_!!2072092771.jpg, friendlyName=查看主图</x:v>
      </x:c>
      <x:c r="O289" s="9" t="str">
        <x:v>标题及既有类目语义复核；【高圆圆同款】edition2025秋季新款桑蚕丝不规则半裙EBE3SKT020；原类目及标题已能确认半身裙；展示使用已知大类，未知裙长下沉到结构字段，不强猜长短。</x:v>
      </x:c>
      <x:c r="P289" s="9" t="str">
        <x:v>普通男女装</x:v>
      </x:c>
      <x:c r="Q289" s="9" t="str">
        <x:v>W_SKIRTS_AVGPAID_1500_1600_ANNUAL2026.xlsx</x:v>
      </x:c>
      <x:c r="R289" s="9" t="str">
        <x:v>默认</x:v>
      </x:c>
      <x:c r="S289" s="9" t="n">
        <x:v>4</x:v>
      </x:c>
      <x:c r="T289" s="9" t="str">
        <x:v>deede8b56943df4f914be45dba170f12e69064023d6ef0e88dbde1764f6ba23e</x:v>
      </x:c>
      <x:c r="U289" s="9" t="str">
        <x:v>W_SKIRTS_AVGPAID_1500_1600_ANNUAL2026</x:v>
      </x:c>
      <x:c r="V289" s="9" t="str">
        <x:v>W_SKIRTS_AVGPAID_1500_1600_ANNUAL2026.xlsx / 默认 / 第4行 / SHA256 deede8b56943df4f914be45dba170f12e69064023d6ef0e88dbde1764f6ba23e</x:v>
      </x:c>
    </x:row>
    <x:row r="290" ht="58" customHeight="1">
      <x:c r="A290" s="23" t="str">
        <x:v>963225841380</x:v>
      </x:c>
      <x:c r="B290" s="22"/>
      <x:c r="C290" s="22"/>
      <x:c r="D290" s="22"/>
      <x:c r="E290" s="9" t="str">
        <x:v>裙长未明确</x:v>
      </x:c>
      <x:c r="F290" s="9" t="str">
        <x:v>裙装</x:v>
      </x:c>
      <x:c r="G290" s="9" t="str">
        <x:v>半身裙</x:v>
      </x:c>
      <x:c r="H290" s="9" t="str">
        <x:v>女</x:v>
      </x:c>
      <x:c r="I290" s="9" t="str">
        <x:v>【高圆圆同款】edition2025秋季新款莱赛尔碎花长半裙EBE3SKT009</x:v>
      </x:c>
      <x:c r="J290" s="9" t="str">
        <x:v>EDITION</x:v>
      </x:c>
      <x:c r="K290" s="24" t="n">
        <x:v>1527.39</x:v>
      </x:c>
      <x:c r="L290" s="25" t="e">
        <x:f>HYPERLINK("https://item.taobao.com/item.htm?id=963225841380","打开商品")</x:f>
        <x:v>HYPERLINK is not implemented. linkLocation=https://item.taobao.com/item.htm?id=963225841380, friendlyName=打开商品</x:v>
      </x:c>
      <x:c r="M290" s="25" t="e">
        <x:f>HYPERLINK("https://data.zhiyitech.cn/itemDetail/overview/base?itemId=963225841380","打开知衣")</x:f>
        <x:v>HYPERLINK is not implemented. linkLocation=https://data.zhiyitech.cn/itemDetail/overview/base?itemId=963225841380, friendlyName=打开知衣</x:v>
      </x:c>
      <x:c r="N290" s="25" t="e">
        <x:f>HYPERLINK("https://img.alicdn.com/bao/uploaded/i4/2072092771/O1CN018Yo4MEmVmmK1chua_!!2072092771.jpg","查看主图")</x:f>
        <x:v>HYPERLINK is not implemented. linkLocation=https://img.alicdn.com/bao/uploaded/i4/2072092771/O1CN018Yo4MEmVmmK1chua_!!2072092771.jpg, friendlyName=查看主图</x:v>
      </x:c>
      <x:c r="O290" s="9" t="str">
        <x:v>标题及既有类目语义复核；【高圆圆同款】edition2025秋季新款莱赛尔碎花长半裙EBE3SKT009；原类目及标题已能确认半身裙；展示使用已知大类，未知裙长下沉到结构字段，不强猜长短。</x:v>
      </x:c>
      <x:c r="P290" s="9" t="str">
        <x:v>普通男女装</x:v>
      </x:c>
      <x:c r="Q290" s="9" t="str">
        <x:v>W_SKIRTS_AVGPAID_1500_1600_ANNUAL2026.xlsx</x:v>
      </x:c>
      <x:c r="R290" s="9" t="str">
        <x:v>默认</x:v>
      </x:c>
      <x:c r="S290" s="9" t="n">
        <x:v>20</x:v>
      </x:c>
      <x:c r="T290" s="9" t="str">
        <x:v>deede8b56943df4f914be45dba170f12e69064023d6ef0e88dbde1764f6ba23e</x:v>
      </x:c>
      <x:c r="U290" s="9" t="str">
        <x:v>W_SKIRTS_AVGPAID_1500_1600_ANNUAL2026</x:v>
      </x:c>
      <x:c r="V290" s="9" t="str">
        <x:v>W_SKIRTS_AVGPAID_1500_1600_ANNUAL2026.xlsx / 默认 / 第20行 / SHA256 deede8b56943df4f914be45dba170f12e69064023d6ef0e88dbde1764f6ba23e</x:v>
      </x:c>
    </x:row>
    <x:row r="291" ht="58" customHeight="1">
      <x:c r="A291" s="23" t="str">
        <x:v>980130598366</x:v>
      </x:c>
      <x:c r="B291" s="22"/>
      <x:c r="C291" s="22"/>
      <x:c r="D291" s="22"/>
      <x:c r="E291" s="9" t="str">
        <x:v>裙长未明确</x:v>
      </x:c>
      <x:c r="F291" s="9" t="str">
        <x:v>裙装</x:v>
      </x:c>
      <x:c r="G291" s="9" t="str">
        <x:v>半身裙</x:v>
      </x:c>
      <x:c r="H291" s="9" t="str">
        <x:v>女</x:v>
      </x:c>
      <x:c r="I291" s="9" t="str">
        <x:v>【高圆圆同款】edition2025冬新款羊毛西装半裙鱼尾裙EBE4SKT022</x:v>
      </x:c>
      <x:c r="J291" s="9" t="str">
        <x:v>EDITION</x:v>
      </x:c>
      <x:c r="K291" s="24" t="n">
        <x:v>1756.4</x:v>
      </x:c>
      <x:c r="L291" s="25" t="e">
        <x:f>HYPERLINK("https://item.taobao.com/item.htm?id=980130598366","打开商品")</x:f>
        <x:v>HYPERLINK is not implemented. linkLocation=https://item.taobao.com/item.htm?id=980130598366, friendlyName=打开商品</x:v>
      </x:c>
      <x:c r="M291" s="25" t="e">
        <x:f>HYPERLINK("https://data.zhiyitech.cn/itemDetail/overview/base?itemId=980130598366","打开知衣")</x:f>
        <x:v>HYPERLINK is not implemented. linkLocation=https://data.zhiyitech.cn/itemDetail/overview/base?itemId=980130598366, friendlyName=打开知衣</x:v>
      </x:c>
      <x:c r="N291" s="25" t="e">
        <x:f>HYPERLINK("https://img.alicdn.com/bao/uploaded/i4/2072092771/O1CN01pfJnwT1WLAe6tSpfp_!!2072092771.jpg","查看主图")</x:f>
        <x:v>HYPERLINK is not implemented. linkLocation=https://img.alicdn.com/bao/uploaded/i4/2072092771/O1CN01pfJnwT1WLAe6tSpfp_!!2072092771.jpg, friendlyName=查看主图</x:v>
      </x:c>
      <x:c r="O291" s="9" t="str">
        <x:v>标题及既有类目语义复核；【高圆圆同款】edition2025冬新款羊毛西装半裙鱼尾裙EBE4SKT022；原类目及标题已能确认半身裙；展示使用已知大类，未知裙长下沉到结构字段，不强猜长短。</x:v>
      </x:c>
      <x:c r="P291" s="9" t="str">
        <x:v>普通男女装</x:v>
      </x:c>
      <x:c r="Q291" s="9" t="str">
        <x:v>W_SKIRTS_AVGPAID_1700_1800_ANNUAL2026.xlsx</x:v>
      </x:c>
      <x:c r="R291" s="9" t="str">
        <x:v>默认</x:v>
      </x:c>
      <x:c r="S291" s="9" t="n">
        <x:v>80</x:v>
      </x:c>
      <x:c r="T291" s="9" t="str">
        <x:v>c25ed77c53c7c5cfcf728778a0e9b297d8689503f62756a939cbd534ca9b587a</x:v>
      </x:c>
      <x:c r="U291" s="9" t="str">
        <x:v>W_SKIRTS_AVGPAID_1700_1800_ANNUAL2026</x:v>
      </x:c>
      <x:c r="V291" s="9" t="str">
        <x:v>W_SKIRTS_AVGPAID_1700_1800_ANNUAL2026.xlsx / 默认 / 第80行 / SHA256 c25ed77c53c7c5cfcf728778a0e9b297d8689503f62756a939cbd534ca9b587a</x:v>
      </x:c>
    </x:row>
    <x:row r="292" ht="58" customHeight="1">
      <x:c r="A292" s="23" t="str">
        <x:v>981444501341</x:v>
      </x:c>
      <x:c r="B292" s="22"/>
      <x:c r="C292" s="22"/>
      <x:c r="D292" s="22"/>
      <x:c r="E292" s="9" t="str">
        <x:v>裙长未明确</x:v>
      </x:c>
      <x:c r="F292" s="9" t="str">
        <x:v>裙装</x:v>
      </x:c>
      <x:c r="G292" s="9" t="str">
        <x:v>半身裙</x:v>
      </x:c>
      <x:c r="H292" s="9" t="str">
        <x:v>女</x:v>
      </x:c>
      <x:c r="I292" s="9" t="str">
        <x:v>edition夹棉半身裙女2025冬季新款手工钉珠直筒半裙EBE4SKT025</x:v>
      </x:c>
      <x:c r="J292" s="9" t="str">
        <x:v>EDITION</x:v>
      </x:c>
      <x:c r="K292" s="24" t="n">
        <x:v>1712.67</x:v>
      </x:c>
      <x:c r="L292" s="25" t="e">
        <x:f>HYPERLINK("https://item.taobao.com/item.htm?id=981444501341","打开商品")</x:f>
        <x:v>HYPERLINK is not implemented. linkLocation=https://item.taobao.com/item.htm?id=981444501341, friendlyName=打开商品</x:v>
      </x:c>
      <x:c r="M292" s="25" t="e">
        <x:f>HYPERLINK("https://data.zhiyitech.cn/itemDetail/overview/base?itemId=981444501341","打开知衣")</x:f>
        <x:v>HYPERLINK is not implemented. linkLocation=https://data.zhiyitech.cn/itemDetail/overview/base?itemId=981444501341, friendlyName=打开知衣</x:v>
      </x:c>
      <x:c r="N292" s="25" t="e">
        <x:f>HYPERLINK("https://img.alicdn.com/bao/uploaded/i1/2072092771/O1CN01XsWiJZ0kwRB1chua_!!2072092771.jpg","查看主图")</x:f>
        <x:v>HYPERLINK is not implemented. linkLocation=https://img.alicdn.com/bao/uploaded/i1/2072092771/O1CN01XsWiJZ0kwRB1chua_!!2072092771.jpg, friendlyName=查看主图</x:v>
      </x:c>
      <x:c r="O292" s="9" t="str">
        <x:v>标题及既有类目语义复核；edition夹棉半身裙女2025冬季新款手工钉珠直筒半裙EBE4SKT025；原类目及标题已能确认半身裙；展示使用已知大类，未知裙长下沉到结构字段，不强猜长短。</x:v>
      </x:c>
      <x:c r="P292" s="9" t="str">
        <x:v>普通男女装</x:v>
      </x:c>
      <x:c r="Q292" s="9" t="str">
        <x:v>W_SKIRTS_AVGPAID_1700_1800_ANNUAL2026.xlsx</x:v>
      </x:c>
      <x:c r="R292" s="9" t="str">
        <x:v>默认</x:v>
      </x:c>
      <x:c r="S292" s="9" t="n">
        <x:v>232</x:v>
      </x:c>
      <x:c r="T292" s="9" t="str">
        <x:v>c25ed77c53c7c5cfcf728778a0e9b297d8689503f62756a939cbd534ca9b587a</x:v>
      </x:c>
      <x:c r="U292" s="9" t="str">
        <x:v>W_SKIRTS_AVGPAID_1700_1800_ANNUAL2026</x:v>
      </x:c>
      <x:c r="V292" s="9" t="str">
        <x:v>W_SKIRTS_AVGPAID_1700_1800_ANNUAL2026.xlsx / 默认 / 第232行 / SHA256 c25ed77c53c7c5cfcf728778a0e9b297d8689503f62756a939cbd534ca9b587a</x:v>
      </x:c>
    </x:row>
    <x:row r="293" ht="58" customHeight="1">
      <x:c r="A293" s="23" t="str">
        <x:v>1003540683622</x:v>
      </x:c>
      <x:c r="B293" s="22"/>
      <x:c r="C293" s="22"/>
      <x:c r="D293" s="22"/>
      <x:c r="E293" s="9" t="str">
        <x:v>裙长未明确</x:v>
      </x:c>
      <x:c r="F293" s="9" t="str">
        <x:v>裙装</x:v>
      </x:c>
      <x:c r="G293" s="9" t="str">
        <x:v>半身裙</x:v>
      </x:c>
      <x:c r="H293" s="9" t="str">
        <x:v>女</x:v>
      </x:c>
      <x:c r="I293" s="9" t="str">
        <x:v>ELLASSAY歌力思26秋冬新款莱赛尔度假气质白色高腰压褶半身裙女</x:v>
      </x:c>
      <x:c r="J293" s="9" t="str">
        <x:v>ELLASSAY/歌力思</x:v>
      </x:c>
      <x:c r="K293" s="24" t="n">
        <x:v>1741.28</x:v>
      </x:c>
      <x:c r="L293" s="25" t="e">
        <x:f>HYPERLINK("https://item.taobao.com/item.htm?id=1003540683622","打开商品")</x:f>
        <x:v>HYPERLINK is not implemented. linkLocation=https://item.taobao.com/item.htm?id=1003540683622, friendlyName=打开商品</x:v>
      </x:c>
      <x:c r="M293" s="25" t="e">
        <x:f>HYPERLINK("https://data.zhiyitech.cn/itemDetail/overview/base?itemId=1003540683622","打开知衣")</x:f>
        <x:v>HYPERLINK is not implemented. linkLocation=https://data.zhiyitech.cn/itemDetail/overview/base?itemId=1003540683622, friendlyName=打开知衣</x:v>
      </x:c>
      <x:c r="N293" s="25" t="e">
        <x:f>HYPERLINK("https://img.alicdn.com/bao/uploaded/i4/705619609/O1CN01SqBMXRUxlYD1chua-705619609.jpg","查看主图")</x:f>
        <x:v>HYPERLINK is not implemented. linkLocation=https://img.alicdn.com/bao/uploaded/i4/705619609/O1CN01SqBMXRUxlYD1chua-705619609.jpg, friendlyName=查看主图</x:v>
      </x:c>
      <x:c r="O293" s="9" t="str">
        <x:v>标题及既有类目语义复核；ELLASSAY歌力思26秋冬新款莱赛尔度假气质白色高腰压褶半身裙女；原类目及标题已能确认半身裙；展示使用已知大类，未知裙长下沉到结构字段，不强猜长短。</x:v>
      </x:c>
      <x:c r="P293" s="9" t="str">
        <x:v>普通男女装</x:v>
      </x:c>
      <x:c r="Q293" s="9" t="str">
        <x:v>W_SKIRTS_AVGPAID_1700_1800_ANNUAL2026.xlsx</x:v>
      </x:c>
      <x:c r="R293" s="9" t="str">
        <x:v>默认</x:v>
      </x:c>
      <x:c r="S293" s="9" t="n">
        <x:v>8</x:v>
      </x:c>
      <x:c r="T293" s="9" t="str">
        <x:v>c25ed77c53c7c5cfcf728778a0e9b297d8689503f62756a939cbd534ca9b587a</x:v>
      </x:c>
      <x:c r="U293" s="9" t="str">
        <x:v>W_SKIRTS_AVGPAID_1700_1800_ANNUAL2026</x:v>
      </x:c>
      <x:c r="V293" s="9" t="str">
        <x:v>W_SKIRTS_AVGPAID_1700_1800_ANNUAL2026.xlsx / 默认 / 第8行 / SHA256 c25ed77c53c7c5cfcf728778a0e9b297d8689503f62756a939cbd534ca9b587a</x:v>
      </x:c>
    </x:row>
    <x:row r="294" ht="58" customHeight="1">
      <x:c r="A294" s="23" t="str">
        <x:v>1004491683341</x:v>
      </x:c>
      <x:c r="B294" s="22"/>
      <x:c r="C294" s="22"/>
      <x:c r="D294" s="22"/>
      <x:c r="E294" s="9" t="str">
        <x:v>裙长未明确</x:v>
      </x:c>
      <x:c r="F294" s="9" t="str">
        <x:v>裙装</x:v>
      </x:c>
      <x:c r="G294" s="9" t="str">
        <x:v>半身裙</x:v>
      </x:c>
      <x:c r="H294" s="9" t="str">
        <x:v>女</x:v>
      </x:c>
      <x:c r="I294" s="9" t="str">
        <x:v>歌力思A字荷叶边半身裙</x:v>
      </x:c>
      <x:c r="J294" s="9" t="str">
        <x:v>ELLASSAY/歌力思</x:v>
      </x:c>
      <x:c r="K294" s="24" t="n">
        <x:v>1514.62</x:v>
      </x:c>
      <x:c r="L294" s="25" t="e">
        <x:f>HYPERLINK("https://item.taobao.com/item.htm?id=1004491683341","打开商品")</x:f>
        <x:v>HYPERLINK is not implemented. linkLocation=https://item.taobao.com/item.htm?id=1004491683341, friendlyName=打开商品</x:v>
      </x:c>
      <x:c r="M294" s="25" t="e">
        <x:f>HYPERLINK("https://data.zhiyitech.cn/itemDetail/overview/base?itemId=1004491683341","打开知衣")</x:f>
        <x:v>HYPERLINK is not implemented. linkLocation=https://data.zhiyitech.cn/itemDetail/overview/base?itemId=1004491683341, friendlyName=打开知衣</x:v>
      </x:c>
      <x:c r="N294" s="25" t="e">
        <x:f>HYPERLINK("https://img.alicdn.com/bao/uploaded/i3/705619609/O1CN01hiEdjm1qFmH1chua-705619609.jpg","查看主图")</x:f>
        <x:v>HYPERLINK is not implemented. linkLocation=https://img.alicdn.com/bao/uploaded/i3/705619609/O1CN01hiEdjm1qFmH1chua-705619609.jpg, friendlyName=查看主图</x:v>
      </x:c>
      <x:c r="O294" s="9" t="str">
        <x:v>标题及既有类目语义复核；歌力思A字荷叶边半身裙；原类目及标题已能确认半身裙；展示使用已知大类，未知裙长下沉到结构字段，不强猜长短。</x:v>
      </x:c>
      <x:c r="P294" s="9" t="str">
        <x:v>普通男女装</x:v>
      </x:c>
      <x:c r="Q294" s="9" t="str">
        <x:v>W_SKIRTS_AVGPAID_1500_1600_ANNUAL2026.xlsx</x:v>
      </x:c>
      <x:c r="R294" s="9" t="str">
        <x:v>默认</x:v>
      </x:c>
      <x:c r="S294" s="9" t="n">
        <x:v>397</x:v>
      </x:c>
      <x:c r="T294" s="9" t="str">
        <x:v>deede8b56943df4f914be45dba170f12e69064023d6ef0e88dbde1764f6ba23e</x:v>
      </x:c>
      <x:c r="U294" s="9" t="str">
        <x:v>W_SKIRTS_AVGPAID_1500_1600_ANNUAL2026</x:v>
      </x:c>
      <x:c r="V294" s="9" t="str">
        <x:v>W_SKIRTS_AVGPAID_1500_1600_ANNUAL2026.xlsx / 默认 / 第397行 / SHA256 deede8b56943df4f914be45dba170f12e69064023d6ef0e88dbde1764f6ba23e</x:v>
      </x:c>
    </x:row>
    <x:row r="295" ht="58" customHeight="1">
      <x:c r="A295" s="23" t="str">
        <x:v>1005926057026</x:v>
      </x:c>
      <x:c r="B295" s="22"/>
      <x:c r="C295" s="22"/>
      <x:c r="D295" s="22"/>
      <x:c r="E295" s="9" t="str">
        <x:v>裙长未明确</x:v>
      </x:c>
      <x:c r="F295" s="9" t="str">
        <x:v>裙装</x:v>
      </x:c>
      <x:c r="G295" s="9" t="str">
        <x:v>半身裙</x:v>
      </x:c>
      <x:c r="H295" s="9" t="str">
        <x:v>女</x:v>
      </x:c>
      <x:c r="I295" s="9" t="str">
        <x:v>歌力思A字荷叶边半身裙</x:v>
      </x:c>
      <x:c r="J295" s="9" t="str">
        <x:v>ELLASSAY/歌力思</x:v>
      </x:c>
      <x:c r="K295" s="24" t="n">
        <x:v>1514.25</x:v>
      </x:c>
      <x:c r="L295" s="25" t="e">
        <x:f>HYPERLINK("https://item.taobao.com/item.htm?id=1005926057026","打开商品")</x:f>
        <x:v>HYPERLINK is not implemented. linkLocation=https://item.taobao.com/item.htm?id=1005926057026, friendlyName=打开商品</x:v>
      </x:c>
      <x:c r="M295" s="25" t="e">
        <x:f>HYPERLINK("https://data.zhiyitech.cn/itemDetail/overview/base?itemId=1005926057026","打开知衣")</x:f>
        <x:v>HYPERLINK is not implemented. linkLocation=https://data.zhiyitech.cn/itemDetail/overview/base?itemId=1005926057026, friendlyName=打开知衣</x:v>
      </x:c>
      <x:c r="N295" s="25" t="e">
        <x:f>HYPERLINK("https://img.alicdn.com/bao/uploaded/i4/705619609/O1CN01WxhHRFlILcF1chua-705619609.jpg","查看主图")</x:f>
        <x:v>HYPERLINK is not implemented. linkLocation=https://img.alicdn.com/bao/uploaded/i4/705619609/O1CN01WxhHRFlILcF1chua-705619609.jpg, friendlyName=查看主图</x:v>
      </x:c>
      <x:c r="O295" s="9" t="str">
        <x:v>标题及既有类目语义复核；歌力思A字荷叶边半身裙；原类目及标题已能确认半身裙；展示使用已知大类，未知裙长下沉到结构字段，不强猜长短。</x:v>
      </x:c>
      <x:c r="P295" s="9" t="str">
        <x:v>普通男女装</x:v>
      </x:c>
      <x:c r="Q295" s="9" t="str">
        <x:v>W_SKIRTS_AVGPAID_1500_1600_ANNUAL2026.xlsx</x:v>
      </x:c>
      <x:c r="R295" s="9" t="str">
        <x:v>默认</x:v>
      </x:c>
      <x:c r="S295" s="9" t="n">
        <x:v>161</x:v>
      </x:c>
      <x:c r="T295" s="9" t="str">
        <x:v>deede8b56943df4f914be45dba170f12e69064023d6ef0e88dbde1764f6ba23e</x:v>
      </x:c>
      <x:c r="U295" s="9" t="str">
        <x:v>W_SKIRTS_AVGPAID_1500_1600_ANNUAL2026</x:v>
      </x:c>
      <x:c r="V295" s="9" t="str">
        <x:v>W_SKIRTS_AVGPAID_1500_1600_ANNUAL2026.xlsx / 默认 / 第161行 / SHA256 deede8b56943df4f914be45dba170f12e69064023d6ef0e88dbde1764f6ba23e</x:v>
      </x:c>
    </x:row>
    <x:row r="296" ht="58" customHeight="1">
      <x:c r="A296" s="23" t="str">
        <x:v>1017973571239</x:v>
      </x:c>
      <x:c r="B296" s="22"/>
      <x:c r="C296" s="22"/>
      <x:c r="D296" s="22"/>
      <x:c r="E296" s="9" t="str">
        <x:v>裙长未明确</x:v>
      </x:c>
      <x:c r="F296" s="9" t="str">
        <x:v>裙装</x:v>
      </x:c>
      <x:c r="G296" s="9" t="str">
        <x:v>半身裙</x:v>
      </x:c>
      <x:c r="H296" s="9" t="str">
        <x:v>女</x:v>
      </x:c>
      <x:c r="I296" s="9" t="str">
        <x:v>ELLASSAY歌力思26秋冬新款法式复古佩斯利印花高级伞裙半身裙女</x:v>
      </x:c>
      <x:c r="J296" s="9" t="str">
        <x:v>ELLASSAY/歌力思</x:v>
      </x:c>
      <x:c r="K296" s="24" t="n">
        <x:v>1301.41</x:v>
      </x:c>
      <x:c r="L296" s="25" t="e">
        <x:f>HYPERLINK("https://item.taobao.com/item.htm?id=1017973571239","打开商品")</x:f>
        <x:v>HYPERLINK is not implemented. linkLocation=https://item.taobao.com/item.htm?id=1017973571239, friendlyName=打开商品</x:v>
      </x:c>
      <x:c r="M296" s="25" t="e">
        <x:f>HYPERLINK("https://data.zhiyitech.cn/itemDetail/overview/base?itemId=1017973571239","打开知衣")</x:f>
        <x:v>HYPERLINK is not implemented. linkLocation=https://data.zhiyitech.cn/itemDetail/overview/base?itemId=1017973571239, friendlyName=打开知衣</x:v>
      </x:c>
      <x:c r="N296" s="25" t="e">
        <x:f>HYPERLINK("https://img.alicdn.com/bao/uploaded/i3/705619609/O1CN015g06GCgbiRJ1chua-705619609.jpg","查看主图")</x:f>
        <x:v>HYPERLINK is not implemented. linkLocation=https://img.alicdn.com/bao/uploaded/i3/705619609/O1CN015g06GCgbiRJ1chua-705619609.jpg, friendlyName=查看主图</x:v>
      </x:c>
      <x:c r="O296" s="9" t="str">
        <x:v>标题及既有类目语义复核；ELLASSAY歌力思26秋冬新款法式复古佩斯利印花高级伞裙半身裙女；原类目及标题已能确认半身裙；展示使用已知大类，未知裙长下沉到结构字段，不强猜长短。</x:v>
      </x:c>
      <x:c r="P296" s="9" t="str">
        <x:v>普通男女装</x:v>
      </x:c>
      <x:c r="Q296" s="9" t="str">
        <x:v>W_SKIRTS_AVGPAID_1300_1400_ANNUAL2026.xlsx</x:v>
      </x:c>
      <x:c r="R296" s="9" t="str">
        <x:v>默认</x:v>
      </x:c>
      <x:c r="S296" s="9" t="n">
        <x:v>15</x:v>
      </x:c>
      <x:c r="T296" s="9" t="str">
        <x:v>bd4dae1e08e9eca7ddd0669235bf59107cdc418b9c2898fc16f36a7ab5748692</x:v>
      </x:c>
      <x:c r="U296" s="9" t="str">
        <x:v>W_SKIRTS_AVGPAID_1300_1400_ANNUAL2026</x:v>
      </x:c>
      <x:c r="V296" s="9" t="str">
        <x:v>W_SKIRTS_AVGPAID_1300_1400_ANNUAL2026.xlsx / 默认 / 第15行 / SHA256 bd4dae1e08e9eca7ddd0669235bf59107cdc418b9c2898fc16f36a7ab5748692</x:v>
      </x:c>
    </x:row>
    <x:row r="297" ht="58" customHeight="1">
      <x:c r="A297" s="23" t="str">
        <x:v>1019504329813</x:v>
      </x:c>
      <x:c r="B297" s="22"/>
      <x:c r="C297" s="22"/>
      <x:c r="D297" s="22"/>
      <x:c r="E297" s="9" t="str">
        <x:v>裙长未明确</x:v>
      </x:c>
      <x:c r="F297" s="9" t="str">
        <x:v>裙装</x:v>
      </x:c>
      <x:c r="G297" s="9" t="str">
        <x:v>半身裙</x:v>
      </x:c>
      <x:c r="H297" s="9" t="str">
        <x:v>女</x:v>
      </x:c>
      <x:c r="I297" s="9" t="str">
        <x:v>ELLASSAY歌力思26秋冬新款莱赛尔酒红复古棕榈叶印花法式半身裙女</x:v>
      </x:c>
      <x:c r="J297" s="9" t="str">
        <x:v>ELLASSAY/歌力思</x:v>
      </x:c>
      <x:c r="K297" s="24" t="n">
        <x:v>1357.36</x:v>
      </x:c>
      <x:c r="L297" s="25" t="e">
        <x:f>HYPERLINK("https://item.taobao.com/item.htm?id=1019504329813","打开商品")</x:f>
        <x:v>HYPERLINK is not implemented. linkLocation=https://item.taobao.com/item.htm?id=1019504329813, friendlyName=打开商品</x:v>
      </x:c>
      <x:c r="M297" s="25" t="e">
        <x:f>HYPERLINK("https://data.zhiyitech.cn/itemDetail/overview/base?itemId=1019504329813","打开知衣")</x:f>
        <x:v>HYPERLINK is not implemented. linkLocation=https://data.zhiyitech.cn/itemDetail/overview/base?itemId=1019504329813, friendlyName=打开知衣</x:v>
      </x:c>
      <x:c r="N297" s="25" t="e">
        <x:f>HYPERLINK("https://img.alicdn.com/bao/uploaded/i2/705619609/O1CN01g49XZQtQQYD1chua-705619609.jpg","查看主图")</x:f>
        <x:v>HYPERLINK is not implemented. linkLocation=https://img.alicdn.com/bao/uploaded/i2/705619609/O1CN01g49XZQtQQYD1chua-705619609.jpg, friendlyName=查看主图</x:v>
      </x:c>
      <x:c r="O297" s="9" t="str">
        <x:v>标题及既有类目语义复核；ELLASSAY歌力思26秋冬新款莱赛尔酒红复古棕榈叶印花法式半身裙女；原类目及标题已能确认半身裙；展示使用已知大类，未知裙长下沉到结构字段，不强猜长短。</x:v>
      </x:c>
      <x:c r="P297" s="9" t="str">
        <x:v>普通男女装</x:v>
      </x:c>
      <x:c r="Q297" s="9" t="str">
        <x:v>W_SKIRTS_AVGPAID_1300_1400_ANNUAL2026.xlsx</x:v>
      </x:c>
      <x:c r="R297" s="9" t="str">
        <x:v>默认</x:v>
      </x:c>
      <x:c r="S297" s="9" t="n">
        <x:v>48</x:v>
      </x:c>
      <x:c r="T297" s="9" t="str">
        <x:v>bd4dae1e08e9eca7ddd0669235bf59107cdc418b9c2898fc16f36a7ab5748692</x:v>
      </x:c>
      <x:c r="U297" s="9" t="str">
        <x:v>W_SKIRTS_AVGPAID_1300_1400_ANNUAL2026</x:v>
      </x:c>
      <x:c r="V297" s="9" t="str">
        <x:v>W_SKIRTS_AVGPAID_1300_1400_ANNUAL2026.xlsx / 默认 / 第48行 / SHA256 bd4dae1e08e9eca7ddd0669235bf59107cdc418b9c2898fc16f36a7ab5748692</x:v>
      </x:c>
    </x:row>
    <x:row r="298" ht="58" customHeight="1">
      <x:c r="A298" s="23" t="str">
        <x:v>1020498706419</x:v>
      </x:c>
      <x:c r="B298" s="22"/>
      <x:c r="C298" s="22"/>
      <x:c r="D298" s="22"/>
      <x:c r="E298" s="9" t="str">
        <x:v>裙长未明确</x:v>
      </x:c>
      <x:c r="F298" s="9" t="str">
        <x:v>裙装</x:v>
      </x:c>
      <x:c r="G298" s="9" t="str">
        <x:v>半身裙</x:v>
      </x:c>
      <x:c r="H298" s="9" t="str">
        <x:v>女</x:v>
      </x:c>
      <x:c r="I298" s="9" t="str">
        <x:v>歌力思温柔立体花朵针织半身裙</x:v>
      </x:c>
      <x:c r="J298" s="9" t="str">
        <x:v>ELLASSAY/歌力思</x:v>
      </x:c>
      <x:c r="K298" s="24" t="n">
        <x:v>1567.16</x:v>
      </x:c>
      <x:c r="L298" s="25" t="e">
        <x:f>HYPERLINK("https://item.taobao.com/item.htm?id=1020498706419","打开商品")</x:f>
        <x:v>HYPERLINK is not implemented. linkLocation=https://item.taobao.com/item.htm?id=1020498706419, friendlyName=打开商品</x:v>
      </x:c>
      <x:c r="M298" s="25" t="e">
        <x:f>HYPERLINK("https://data.zhiyitech.cn/itemDetail/overview/base?itemId=1020498706419","打开知衣")</x:f>
        <x:v>HYPERLINK is not implemented. linkLocation=https://data.zhiyitech.cn/itemDetail/overview/base?itemId=1020498706419, friendlyName=打开知衣</x:v>
      </x:c>
      <x:c r="N298" s="25" t="e">
        <x:f>HYPERLINK("https://img.alicdn.com/bao/uploaded/i1/705619609/O1CN01ATuThguT9hD1chua-705619609.jpg","查看主图")</x:f>
        <x:v>HYPERLINK is not implemented. linkLocation=https://img.alicdn.com/bao/uploaded/i1/705619609/O1CN01ATuThguT9hD1chua-705619609.jpg, friendlyName=查看主图</x:v>
      </x:c>
      <x:c r="O298" s="9" t="str">
        <x:v>标题及既有类目语义复核；歌力思温柔立体花朵针织半身裙；原类目及标题已能确认半身裙；展示使用已知大类，未知裙长下沉到结构字段，不强猜长短。</x:v>
      </x:c>
      <x:c r="P298" s="9" t="str">
        <x:v>普通男女装</x:v>
      </x:c>
      <x:c r="Q298" s="9" t="str">
        <x:v>W_SKIRTS_AVGPAID_1500_1600_ANNUAL2026.xlsx</x:v>
      </x:c>
      <x:c r="R298" s="9" t="str">
        <x:v>默认</x:v>
      </x:c>
      <x:c r="S298" s="9" t="n">
        <x:v>485</x:v>
      </x:c>
      <x:c r="T298" s="9" t="str">
        <x:v>deede8b56943df4f914be45dba170f12e69064023d6ef0e88dbde1764f6ba23e</x:v>
      </x:c>
      <x:c r="U298" s="9" t="str">
        <x:v>W_SKIRTS_AVGPAID_1500_1600_ANNUAL2026</x:v>
      </x:c>
      <x:c r="V298" s="9" t="str">
        <x:v>W_SKIRTS_AVGPAID_1500_1600_ANNUAL2026.xlsx / 默认 / 第485行 / SHA256 deede8b56943df4f914be45dba170f12e69064023d6ef0e88dbde1764f6ba23e</x:v>
      </x:c>
    </x:row>
    <x:row r="299" ht="58" customHeight="1">
      <x:c r="A299" s="23" t="str">
        <x:v>1021839108669</x:v>
      </x:c>
      <x:c r="B299" s="22"/>
      <x:c r="C299" s="22"/>
      <x:c r="D299" s="22"/>
      <x:c r="E299" s="9" t="str">
        <x:v>裙长未明确</x:v>
      </x:c>
      <x:c r="F299" s="9" t="str">
        <x:v>裙装</x:v>
      </x:c>
      <x:c r="G299" s="9" t="str">
        <x:v>半身裙</x:v>
      </x:c>
      <x:c r="H299" s="9" t="str">
        <x:v>女</x:v>
      </x:c>
      <x:c r="I299" s="9" t="str">
        <x:v>歌力思简约休闲A字前开叉半身裙</x:v>
      </x:c>
      <x:c r="J299" s="9" t="str">
        <x:v>ELLASSAY/歌力思</x:v>
      </x:c>
      <x:c r="K299" s="24" t="n">
        <x:v>1794.28</x:v>
      </x:c>
      <x:c r="L299" s="25" t="e">
        <x:f>HYPERLINK("https://item.taobao.com/item.htm?id=1021839108669","打开商品")</x:f>
        <x:v>HYPERLINK is not implemented. linkLocation=https://item.taobao.com/item.htm?id=1021839108669, friendlyName=打开商品</x:v>
      </x:c>
      <x:c r="M299" s="25" t="e">
        <x:f>HYPERLINK("https://data.zhiyitech.cn/itemDetail/overview/base?itemId=1021839108669","打开知衣")</x:f>
        <x:v>HYPERLINK is not implemented. linkLocation=https://data.zhiyitech.cn/itemDetail/overview/base?itemId=1021839108669, friendlyName=打开知衣</x:v>
      </x:c>
      <x:c r="N299" s="25" t="e">
        <x:f>HYPERLINK("https://img.alicdn.com/bao/uploaded/i1/705619609/O1CN01DsBwTA2Kqyv0o1nj1_!!4611686018427381401-0-item_pic.jpg","查看主图")</x:f>
        <x:v>HYPERLINK is not implemented. linkLocation=https://img.alicdn.com/bao/uploaded/i1/705619609/O1CN01DsBwTA2Kqyv0o1nj1_!!4611686018427381401-0-item_pic.jpg, friendlyName=查看主图</x:v>
      </x:c>
      <x:c r="O299" s="9" t="str">
        <x:v>标题及既有类目语义复核；歌力思简约休闲A字前开叉半身裙；原类目及标题已能确认半身裙；展示使用已知大类，未知裙长下沉到结构字段，不强猜长短。</x:v>
      </x:c>
      <x:c r="P299" s="9" t="str">
        <x:v>普通男女装</x:v>
      </x:c>
      <x:c r="Q299" s="9" t="str">
        <x:v>W_SKIRTS_AVGPAID_1700_1800_ANNUAL2026.xlsx</x:v>
      </x:c>
      <x:c r="R299" s="9" t="str">
        <x:v>默认</x:v>
      </x:c>
      <x:c r="S299" s="9" t="n">
        <x:v>454</x:v>
      </x:c>
      <x:c r="T299" s="9" t="str">
        <x:v>c25ed77c53c7c5cfcf728778a0e9b297d8689503f62756a939cbd534ca9b587a</x:v>
      </x:c>
      <x:c r="U299" s="9" t="str">
        <x:v>W_SKIRTS_AVGPAID_1700_1800_ANNUAL2026</x:v>
      </x:c>
      <x:c r="V299" s="9" t="str">
        <x:v>W_SKIRTS_AVGPAID_1700_1800_ANNUAL2026.xlsx / 默认 / 第454行 / SHA256 c25ed77c53c7c5cfcf728778a0e9b297d8689503f62756a939cbd534ca9b587a</x:v>
      </x:c>
    </x:row>
    <x:row r="300" ht="58" customHeight="1">
      <x:c r="A300" s="23" t="str">
        <x:v>1051640659028</x:v>
      </x:c>
      <x:c r="B300" s="22"/>
      <x:c r="C300" s="22"/>
      <x:c r="D300" s="22"/>
      <x:c r="E300" s="9" t="str">
        <x:v>裙长未明确</x:v>
      </x:c>
      <x:c r="F300" s="9" t="str">
        <x:v>裙装</x:v>
      </x:c>
      <x:c r="G300" s="9" t="str">
        <x:v>半身裙</x:v>
      </x:c>
      <x:c r="H300" s="9" t="str">
        <x:v>女</x:v>
      </x:c>
      <x:c r="I300" s="9" t="str">
        <x:v>歌力思复古休闲A字牛仔半身裙</x:v>
      </x:c>
      <x:c r="J300" s="9" t="str">
        <x:v>ELLASSAY/歌力思</x:v>
      </x:c>
      <x:c r="K300" s="24" t="n">
        <x:v>1526.88</x:v>
      </x:c>
      <x:c r="L300" s="25" t="e">
        <x:f>HYPERLINK("https://item.taobao.com/item.htm?id=1051640659028","打开商品")</x:f>
        <x:v>HYPERLINK is not implemented. linkLocation=https://item.taobao.com/item.htm?id=1051640659028, friendlyName=打开商品</x:v>
      </x:c>
      <x:c r="M300" s="25" t="e">
        <x:f>HYPERLINK("https://data.zhiyitech.cn/itemDetail/overview/base?itemId=1051640659028","打开知衣")</x:f>
        <x:v>HYPERLINK is not implemented. linkLocation=https://data.zhiyitech.cn/itemDetail/overview/base?itemId=1051640659028, friendlyName=打开知衣</x:v>
      </x:c>
      <x:c r="N300" s="25" t="e">
        <x:f>HYPERLINK("https://img.alicdn.com/bao/uploaded/i2/705619609/O1CN01ExmjULV8GwL1chua-705619609.jpg","查看主图")</x:f>
        <x:v>HYPERLINK is not implemented. linkLocation=https://img.alicdn.com/bao/uploaded/i2/705619609/O1CN01ExmjULV8GwL1chua-705619609.jpg, friendlyName=查看主图</x:v>
      </x:c>
      <x:c r="O300" s="9" t="str">
        <x:v>标题及既有类目语义复核；歌力思复古休闲A字牛仔半身裙；原类目及标题已能确认半身裙；展示使用已知大类，未知裙长下沉到结构字段，不强猜长短。</x:v>
      </x:c>
      <x:c r="P300" s="9" t="str">
        <x:v>普通男女装</x:v>
      </x:c>
      <x:c r="Q300" s="9" t="str">
        <x:v>W_SKIRTS_AVGPAID_1500_1600_ANNUAL2026.xlsx</x:v>
      </x:c>
      <x:c r="R300" s="9" t="str">
        <x:v>默认</x:v>
      </x:c>
      <x:c r="S300" s="9" t="n">
        <x:v>241</x:v>
      </x:c>
      <x:c r="T300" s="9" t="str">
        <x:v>deede8b56943df4f914be45dba170f12e69064023d6ef0e88dbde1764f6ba23e</x:v>
      </x:c>
      <x:c r="U300" s="9" t="str">
        <x:v>W_SKIRTS_AVGPAID_1500_1600_ANNUAL2026</x:v>
      </x:c>
      <x:c r="V300" s="9" t="str">
        <x:v>W_SKIRTS_AVGPAID_1500_1600_ANNUAL2026.xlsx / 默认 / 第241行 / SHA256 deede8b56943df4f914be45dba170f12e69064023d6ef0e88dbde1764f6ba23e</x:v>
      </x:c>
    </x:row>
    <x:row r="301" ht="58" customHeight="1">
      <x:c r="A301" s="23" t="str">
        <x:v>1073288932498</x:v>
      </x:c>
      <x:c r="B301" s="22"/>
      <x:c r="C301" s="22"/>
      <x:c r="D301" s="22"/>
      <x:c r="E301" s="9" t="str">
        <x:v>裙长未明确</x:v>
      </x:c>
      <x:c r="F301" s="9" t="str">
        <x:v>裙装</x:v>
      </x:c>
      <x:c r="G301" s="9" t="str">
        <x:v>半身裙</x:v>
      </x:c>
      <x:c r="H301" s="9" t="str">
        <x:v>女</x:v>
      </x:c>
      <x:c r="I301" s="9" t="str">
        <x:v>ELLASSAY歌力思26秋季新款绵羊毛法式镂空蕾丝拼接直筒针织半裙女</x:v>
      </x:c>
      <x:c r="J301" s="9" t="str">
        <x:v>ELLASSAY/歌力思</x:v>
      </x:c>
      <x:c r="K301" s="24" t="n">
        <x:v>1741.04</x:v>
      </x:c>
      <x:c r="L301" s="25" t="e">
        <x:f>HYPERLINK("https://item.taobao.com/item.htm?id=1073288932498","打开商品")</x:f>
        <x:v>HYPERLINK is not implemented. linkLocation=https://item.taobao.com/item.htm?id=1073288932498, friendlyName=打开商品</x:v>
      </x:c>
      <x:c r="M301" s="25" t="e">
        <x:f>HYPERLINK("https://data.zhiyitech.cn/itemDetail/overview/base?itemId=1073288932498","打开知衣")</x:f>
        <x:v>HYPERLINK is not implemented. linkLocation=https://data.zhiyitech.cn/itemDetail/overview/base?itemId=1073288932498, friendlyName=打开知衣</x:v>
      </x:c>
      <x:c r="N301" s="25" t="e">
        <x:f>HYPERLINK("https://img.alicdn.com/bao/uploaded/i1/705619609/O1CN01TevMnccLZKE1chua_!!4611686018427381401-0-item_pic.jpg","查看主图")</x:f>
        <x:v>HYPERLINK is not implemented. linkLocation=https://img.alicdn.com/bao/uploaded/i1/705619609/O1CN01TevMnccLZKE1chua_!!4611686018427381401-0-item_pic.jpg, friendlyName=查看主图</x:v>
      </x:c>
      <x:c r="O301" s="9" t="str">
        <x:v>标题及既有类目语义复核；ELLASSAY歌力思26秋季新款绵羊毛法式镂空蕾丝拼接直筒针织半裙女；原类目及标题已能确认半身裙；展示使用已知大类，未知裙长下沉到结构字段，不强猜长短。</x:v>
      </x:c>
      <x:c r="P301" s="9" t="str">
        <x:v>普通男女装</x:v>
      </x:c>
      <x:c r="Q301" s="9" t="str">
        <x:v>W_SKIRTS_AVGPAID_1700_1800_ANNUAL2026.xlsx</x:v>
      </x:c>
      <x:c r="R301" s="9" t="str">
        <x:v>默认</x:v>
      </x:c>
      <x:c r="S301" s="9" t="n">
        <x:v>118</x:v>
      </x:c>
      <x:c r="T301" s="9" t="str">
        <x:v>c25ed77c53c7c5cfcf728778a0e9b297d8689503f62756a939cbd534ca9b587a</x:v>
      </x:c>
      <x:c r="U301" s="9" t="str">
        <x:v>W_SKIRTS_AVGPAID_1700_1800_ANNUAL2026</x:v>
      </x:c>
      <x:c r="V301" s="9" t="str">
        <x:v>W_SKIRTS_AVGPAID_1700_1800_ANNUAL2026.xlsx / 默认 / 第118行 / SHA256 c25ed77c53c7c5cfcf728778a0e9b297d8689503f62756a939cbd534ca9b587a</x:v>
      </x:c>
    </x:row>
    <x:row r="302" ht="58" customHeight="1">
      <x:c r="A302" s="23" t="str">
        <x:v>754989993311</x:v>
      </x:c>
      <x:c r="B302" s="22"/>
      <x:c r="C302" s="22"/>
      <x:c r="D302" s="22"/>
      <x:c r="E302" s="9" t="str">
        <x:v>裙长未明确</x:v>
      </x:c>
      <x:c r="F302" s="9" t="str">
        <x:v>裙装</x:v>
      </x:c>
      <x:c r="G302" s="9" t="str">
        <x:v>半身裙</x:v>
      </x:c>
      <x:c r="H302" s="9" t="str">
        <x:v>女</x:v>
      </x:c>
      <x:c r="I302" s="9" t="str">
        <x:v>ELLASSAY歌力思奥莱春季新款拼接蒲公英纱裙半身裙女EWE351Q00200</x:v>
      </x:c>
      <x:c r="J302" s="9" t="str">
        <x:v>ELLASSAY/歌力思</x:v>
      </x:c>
      <x:c r="K302" s="24" t="n">
        <x:v>1373.7</x:v>
      </x:c>
      <x:c r="L302" s="25" t="e">
        <x:f>HYPERLINK("https://item.taobao.com/item.htm?id=754989993311","打开商品")</x:f>
        <x:v>HYPERLINK is not implemented. linkLocation=https://item.taobao.com/item.htm?id=754989993311, friendlyName=打开商品</x:v>
      </x:c>
      <x:c r="M302" s="25" t="e">
        <x:f>HYPERLINK("https://data.zhiyitech.cn/itemDetail/overview/base?itemId=754989993311","打开知衣")</x:f>
        <x:v>HYPERLINK is not implemented. linkLocation=https://data.zhiyitech.cn/itemDetail/overview/base?itemId=754989993311, friendlyName=打开知衣</x:v>
      </x:c>
      <x:c r="N302" s="25" t="e">
        <x:f>HYPERLINK("https://img.alicdn.com/bao/uploaded/i2/2207613268693/O1CN01Dcispq2E5S9HY4EV7_!!2207613268693.jpg","查看主图")</x:f>
        <x:v>HYPERLINK is not implemented. linkLocation=https://img.alicdn.com/bao/uploaded/i2/2207613268693/O1CN01Dcispq2E5S9HY4EV7_!!2207613268693.jpg, friendlyName=查看主图</x:v>
      </x:c>
      <x:c r="O302" s="9" t="str">
        <x:v>标题及既有类目语义复核；ELLASSAY歌力思奥莱春季新款拼接蒲公英纱裙半身裙女EWE351Q00200；原类目及标题已能确认半身裙；展示使用已知大类，未知裙长下沉到结构字段，不强猜长短。</x:v>
      </x:c>
      <x:c r="P302" s="9" t="str">
        <x:v>普通男女装</x:v>
      </x:c>
      <x:c r="Q302" s="9" t="str">
        <x:v>W_SKIRTS_AVGPAID_1300_1400_ANNUAL2026.xlsx</x:v>
      </x:c>
      <x:c r="R302" s="9" t="str">
        <x:v>默认</x:v>
      </x:c>
      <x:c r="S302" s="9" t="n">
        <x:v>393</x:v>
      </x:c>
      <x:c r="T302" s="9" t="str">
        <x:v>bd4dae1e08e9eca7ddd0669235bf59107cdc418b9c2898fc16f36a7ab5748692</x:v>
      </x:c>
      <x:c r="U302" s="9" t="str">
        <x:v>W_SKIRTS_AVGPAID_1300_1400_ANNUAL2026</x:v>
      </x:c>
      <x:c r="V302" s="9" t="str">
        <x:v>W_SKIRTS_AVGPAID_1300_1400_ANNUAL2026.xlsx / 默认 / 第393行 / SHA256 bd4dae1e08e9eca7ddd0669235bf59107cdc418b9c2898fc16f36a7ab5748692</x:v>
      </x:c>
    </x:row>
    <x:row r="303" ht="58" customHeight="1">
      <x:c r="A303" s="23" t="str">
        <x:v>758500491295</x:v>
      </x:c>
      <x:c r="B303" s="22"/>
      <x:c r="C303" s="22"/>
      <x:c r="D303" s="22"/>
      <x:c r="E303" s="9" t="str">
        <x:v>裙长未明确</x:v>
      </x:c>
      <x:c r="F303" s="9" t="str">
        <x:v>裙装</x:v>
      </x:c>
      <x:c r="G303" s="9" t="str">
        <x:v>半身裙</x:v>
      </x:c>
      <x:c r="H303" s="9" t="str">
        <x:v>女</x:v>
      </x:c>
      <x:c r="I303" s="9" t="str">
        <x:v>ELLASSAY歌力思秋冬新款老花logo网纱半身裙女EWW351Q01300</x:v>
      </x:c>
      <x:c r="J303" s="9" t="str">
        <x:v>ELLASSAY/歌力思</x:v>
      </x:c>
      <x:c r="K303" s="24" t="n">
        <x:v>1581.11</x:v>
      </x:c>
      <x:c r="L303" s="25" t="e">
        <x:f>HYPERLINK("https://item.taobao.com/item.htm?id=758500491295","打开商品")</x:f>
        <x:v>HYPERLINK is not implemented. linkLocation=https://item.taobao.com/item.htm?id=758500491295, friendlyName=打开商品</x:v>
      </x:c>
      <x:c r="M303" s="25" t="e">
        <x:f>HYPERLINK("https://data.zhiyitech.cn/itemDetail/overview/base?itemId=758500491295","打开知衣")</x:f>
        <x:v>HYPERLINK is not implemented. linkLocation=https://data.zhiyitech.cn/itemDetail/overview/base?itemId=758500491295, friendlyName=打开知衣</x:v>
      </x:c>
      <x:c r="N303" s="25" t="e">
        <x:f>HYPERLINK("https://img.alicdn.com/bao/uploaded/i4/705619609/O1CN01CX1gvSua30F1chua-705619609.jpg","查看主图")</x:f>
        <x:v>HYPERLINK is not implemented. linkLocation=https://img.alicdn.com/bao/uploaded/i4/705619609/O1CN01CX1gvSua30F1chua-705619609.jpg, friendlyName=查看主图</x:v>
      </x:c>
      <x:c r="O303" s="9" t="str">
        <x:v>标题及既有类目语义复核；ELLASSAY歌力思秋冬新款老花logo网纱半身裙女EWW351Q01300；原类目及标题已能确认半身裙；展示使用已知大类，未知裙长下沉到结构字段，不强猜长短。</x:v>
      </x:c>
      <x:c r="P303" s="9" t="str">
        <x:v>普通男女装</x:v>
      </x:c>
      <x:c r="Q303" s="9" t="str">
        <x:v>W_SKIRTS_AVGPAID_1500_1600_ANNUAL2026.xlsx</x:v>
      </x:c>
      <x:c r="R303" s="9" t="str">
        <x:v>默认</x:v>
      </x:c>
      <x:c r="S303" s="9" t="n">
        <x:v>26</x:v>
      </x:c>
      <x:c r="T303" s="9" t="str">
        <x:v>deede8b56943df4f914be45dba170f12e69064023d6ef0e88dbde1764f6ba23e</x:v>
      </x:c>
      <x:c r="U303" s="9" t="str">
        <x:v>W_SKIRTS_AVGPAID_1500_1600_ANNUAL2026</x:v>
      </x:c>
      <x:c r="V303" s="9" t="str">
        <x:v>W_SKIRTS_AVGPAID_1500_1600_ANNUAL2026.xlsx / 默认 / 第26行 / SHA256 deede8b56943df4f914be45dba170f12e69064023d6ef0e88dbde1764f6ba23e</x:v>
      </x:c>
    </x:row>
    <x:row r="304" ht="58" customHeight="1">
      <x:c r="A304" s="23" t="str">
        <x:v>812283588340</x:v>
      </x:c>
      <x:c r="B304" s="22"/>
      <x:c r="C304" s="22"/>
      <x:c r="D304" s="22"/>
      <x:c r="E304" s="9" t="str">
        <x:v>裙长未明确</x:v>
      </x:c>
      <x:c r="F304" s="9" t="str">
        <x:v>裙装</x:v>
      </x:c>
      <x:c r="G304" s="9" t="str">
        <x:v>半身裙</x:v>
      </x:c>
      <x:c r="H304" s="9" t="str">
        <x:v>女</x:v>
      </x:c>
      <x:c r="I304" s="9" t="str">
        <x:v>ELLASSAY歌力思秋冬新款醋酸时尚开衩修身半身裙女EWE353Q008</x:v>
      </x:c>
      <x:c r="J304" s="9" t="str">
        <x:v>ELLASSAY/歌力思</x:v>
      </x:c>
      <x:c r="K304" s="24" t="n">
        <x:v>1786.41</x:v>
      </x:c>
      <x:c r="L304" s="25" t="e">
        <x:f>HYPERLINK("https://item.taobao.com/item.htm?id=812283588340","打开商品")</x:f>
        <x:v>HYPERLINK is not implemented. linkLocation=https://item.taobao.com/item.htm?id=812283588340, friendlyName=打开商品</x:v>
      </x:c>
      <x:c r="M304" s="25" t="e">
        <x:f>HYPERLINK("https://data.zhiyitech.cn/itemDetail/overview/base?itemId=812283588340","打开知衣")</x:f>
        <x:v>HYPERLINK is not implemented. linkLocation=https://data.zhiyitech.cn/itemDetail/overview/base?itemId=812283588340, friendlyName=打开知衣</x:v>
      </x:c>
      <x:c r="N304" s="25" t="e">
        <x:f>HYPERLINK("https://img.alicdn.com/bao/uploaded/i1/705619609/O1CN01qUOKMq2KqyuZd5Mx0-705619609.jpg","查看主图")</x:f>
        <x:v>HYPERLINK is not implemented. linkLocation=https://img.alicdn.com/bao/uploaded/i1/705619609/O1CN01qUOKMq2KqyuZd5Mx0-705619609.jpg, friendlyName=查看主图</x:v>
      </x:c>
      <x:c r="O304" s="9" t="str">
        <x:v>标题及既有类目语义复核；ELLASSAY歌力思秋冬新款醋酸时尚开衩修身半身裙女EWE353Q008；原类目及标题已能确认半身裙；展示使用已知大类，未知裙长下沉到结构字段，不强猜长短。</x:v>
      </x:c>
      <x:c r="P304" s="9" t="str">
        <x:v>普通男女装</x:v>
      </x:c>
      <x:c r="Q304" s="9" t="str">
        <x:v>W_SKIRTS_AVGPAID_1700_1800_ANNUAL2026.xlsx</x:v>
      </x:c>
      <x:c r="R304" s="9" t="str">
        <x:v>默认</x:v>
      </x:c>
      <x:c r="S304" s="9" t="n">
        <x:v>429</x:v>
      </x:c>
      <x:c r="T304" s="9" t="str">
        <x:v>c25ed77c53c7c5cfcf728778a0e9b297d8689503f62756a939cbd534ca9b587a</x:v>
      </x:c>
      <x:c r="U304" s="9" t="str">
        <x:v>W_SKIRTS_AVGPAID_1700_1800_ANNUAL2026</x:v>
      </x:c>
      <x:c r="V304" s="9" t="str">
        <x:v>W_SKIRTS_AVGPAID_1700_1800_ANNUAL2026.xlsx / 默认 / 第429行 / SHA256 c25ed77c53c7c5cfcf728778a0e9b297d8689503f62756a939cbd534ca9b587a</x:v>
      </x:c>
    </x:row>
    <x:row r="305" ht="58" customHeight="1">
      <x:c r="A305" s="23" t="str">
        <x:v>829479568602</x:v>
      </x:c>
      <x:c r="B305" s="22"/>
      <x:c r="C305" s="22"/>
      <x:c r="D305" s="22"/>
      <x:c r="E305" s="9" t="str">
        <x:v>裙长未明确</x:v>
      </x:c>
      <x:c r="F305" s="9" t="str">
        <x:v>裙装</x:v>
      </x:c>
      <x:c r="G305" s="9" t="str">
        <x:v>半身裙</x:v>
      </x:c>
      <x:c r="H305" s="9" t="str">
        <x:v>女</x:v>
      </x:c>
      <x:c r="I305" s="9" t="str">
        <x:v>【马丽同款】ELLASSAY歌力思春夏新款羊毛白色千金半身裙女Q024</x:v>
      </x:c>
      <x:c r="J305" s="9" t="str">
        <x:v>ELLASSAY/歌力思</x:v>
      </x:c>
      <x:c r="K305" s="24" t="n">
        <x:v>1574.41</x:v>
      </x:c>
      <x:c r="L305" s="25" t="e">
        <x:f>HYPERLINK("https://item.taobao.com/item.htm?id=829479568602","打开商品")</x:f>
        <x:v>HYPERLINK is not implemented. linkLocation=https://item.taobao.com/item.htm?id=829479568602, friendlyName=打开商品</x:v>
      </x:c>
      <x:c r="M305" s="25" t="e">
        <x:f>HYPERLINK("https://data.zhiyitech.cn/itemDetail/overview/base?itemId=829479568602","打开知衣")</x:f>
        <x:v>HYPERLINK is not implemented. linkLocation=https://data.zhiyitech.cn/itemDetail/overview/base?itemId=829479568602, friendlyName=打开知衣</x:v>
      </x:c>
      <x:c r="N305" s="25" t="e">
        <x:f>HYPERLINK("https://img.alicdn.com/bao/uploaded/i1/705619609/O1CN01J9K0a02KqyvVX6GHS-705619609.jpg","查看主图")</x:f>
        <x:v>HYPERLINK is not implemented. linkLocation=https://img.alicdn.com/bao/uploaded/i1/705619609/O1CN01J9K0a02KqyvVX6GHS-705619609.jpg, friendlyName=查看主图</x:v>
      </x:c>
      <x:c r="O305" s="9" t="str">
        <x:v>标题及既有类目语义复核；【马丽同款】ELLASSAY歌力思春夏新款羊毛白色千金半身裙女Q024；原类目及标题已能确认半身裙；展示使用已知大类，未知裙长下沉到结构字段，不强猜长短。</x:v>
      </x:c>
      <x:c r="P305" s="9" t="str">
        <x:v>普通男女装</x:v>
      </x:c>
      <x:c r="Q305" s="9" t="str">
        <x:v>W_SKIRTS_AVGPAID_1500_1600_ANNUAL2026.xlsx</x:v>
      </x:c>
      <x:c r="R305" s="9" t="str">
        <x:v>默认</x:v>
      </x:c>
      <x:c r="S305" s="9" t="n">
        <x:v>355</x:v>
      </x:c>
      <x:c r="T305" s="9" t="str">
        <x:v>deede8b56943df4f914be45dba170f12e69064023d6ef0e88dbde1764f6ba23e</x:v>
      </x:c>
      <x:c r="U305" s="9" t="str">
        <x:v>W_SKIRTS_AVGPAID_1500_1600_ANNUAL2026</x:v>
      </x:c>
      <x:c r="V305" s="9" t="str">
        <x:v>W_SKIRTS_AVGPAID_1500_1600_ANNUAL2026.xlsx / 默认 / 第355行 / SHA256 deede8b56943df4f914be45dba170f12e69064023d6ef0e88dbde1764f6ba23e</x:v>
      </x:c>
    </x:row>
    <x:row r="306" ht="58" customHeight="1">
      <x:c r="A306" s="23" t="str">
        <x:v>829479888080</x:v>
      </x:c>
      <x:c r="B306" s="22"/>
      <x:c r="C306" s="22"/>
      <x:c r="D306" s="22"/>
      <x:c r="E306" s="9" t="str">
        <x:v>裙长未明确</x:v>
      </x:c>
      <x:c r="F306" s="9" t="str">
        <x:v>裙装</x:v>
      </x:c>
      <x:c r="G306" s="9" t="str">
        <x:v>半身裙</x:v>
      </x:c>
      <x:c r="H306" s="9" t="str">
        <x:v>女</x:v>
      </x:c>
      <x:c r="I306" s="9" t="str">
        <x:v>经典黑色半身裙歌力思绵羊毛伞裙</x:v>
      </x:c>
      <x:c r="J306" s="9" t="str">
        <x:v>ELLASSAY/歌力思</x:v>
      </x:c>
      <x:c r="K306" s="24" t="n">
        <x:v>1771</x:v>
      </x:c>
      <x:c r="L306" s="25" t="e">
        <x:f>HYPERLINK("https://item.taobao.com/item.htm?id=829479888080","打开商品")</x:f>
        <x:v>HYPERLINK is not implemented. linkLocation=https://item.taobao.com/item.htm?id=829479888080, friendlyName=打开商品</x:v>
      </x:c>
      <x:c r="M306" s="25" t="e">
        <x:f>HYPERLINK("https://data.zhiyitech.cn/itemDetail/overview/base?itemId=829479888080","打开知衣")</x:f>
        <x:v>HYPERLINK is not implemented. linkLocation=https://data.zhiyitech.cn/itemDetail/overview/base?itemId=829479888080, friendlyName=打开知衣</x:v>
      </x:c>
      <x:c r="N306" s="25" t="e">
        <x:f>HYPERLINK("https://img.alicdn.com/bao/uploaded/i2/705619609/O1CN011nJlvU2KqyuZysih8-705619609.jpg","查看主图")</x:f>
        <x:v>HYPERLINK is not implemented. linkLocation=https://img.alicdn.com/bao/uploaded/i2/705619609/O1CN011nJlvU2KqyuZysih8-705619609.jpg, friendlyName=查看主图</x:v>
      </x:c>
      <x:c r="O306" s="9" t="str">
        <x:v>标题及既有类目语义复核；经典黑色半身裙歌力思绵羊毛伞裙；原类目及标题已能确认半身裙；展示使用已知大类，未知裙长下沉到结构字段，不强猜长短。</x:v>
      </x:c>
      <x:c r="P306" s="9" t="str">
        <x:v>普通男女装</x:v>
      </x:c>
      <x:c r="Q306" s="9" t="str">
        <x:v>W_SKIRTS_AVGPAID_1700_1800_ANNUAL2026.xlsx</x:v>
      </x:c>
      <x:c r="R306" s="9" t="str">
        <x:v>默认</x:v>
      </x:c>
      <x:c r="S306" s="9" t="n">
        <x:v>166</x:v>
      </x:c>
      <x:c r="T306" s="9" t="str">
        <x:v>c25ed77c53c7c5cfcf728778a0e9b297d8689503f62756a939cbd534ca9b587a</x:v>
      </x:c>
      <x:c r="U306" s="9" t="str">
        <x:v>W_SKIRTS_AVGPAID_1700_1800_ANNUAL2026</x:v>
      </x:c>
      <x:c r="V306" s="9" t="str">
        <x:v>W_SKIRTS_AVGPAID_1700_1800_ANNUAL2026.xlsx / 默认 / 第166行 / SHA256 c25ed77c53c7c5cfcf728778a0e9b297d8689503f62756a939cbd534ca9b587a</x:v>
      </x:c>
    </x:row>
    <x:row r="307" ht="58" customHeight="1">
      <x:c r="A307" s="23" t="str">
        <x:v>959682619579</x:v>
      </x:c>
      <x:c r="B307" s="22"/>
      <x:c r="C307" s="22"/>
      <x:c r="D307" s="22"/>
      <x:c r="E307" s="9" t="str">
        <x:v>裙长未明确</x:v>
      </x:c>
      <x:c r="F307" s="9" t="str">
        <x:v>裙装</x:v>
      </x:c>
      <x:c r="G307" s="9" t="str">
        <x:v>半身裙</x:v>
      </x:c>
      <x:c r="H307" s="9" t="str">
        <x:v>女</x:v>
      </x:c>
      <x:c r="I307" s="9" t="str">
        <x:v>ELLASSAY歌力思秋冬新款棉莱赛尔航海牛仔半身裙女EWE363N013</x:v>
      </x:c>
      <x:c r="J307" s="9" t="str">
        <x:v>ELLASSAY/歌力思</x:v>
      </x:c>
      <x:c r="K307" s="24" t="n">
        <x:v>1753.41</x:v>
      </x:c>
      <x:c r="L307" s="25" t="e">
        <x:f>HYPERLINK("https://item.taobao.com/item.htm?id=959682619579","打开商品")</x:f>
        <x:v>HYPERLINK is not implemented. linkLocation=https://item.taobao.com/item.htm?id=959682619579, friendlyName=打开商品</x:v>
      </x:c>
      <x:c r="M307" s="25" t="e">
        <x:f>HYPERLINK("https://data.zhiyitech.cn/itemDetail/overview/base?itemId=959682619579","打开知衣")</x:f>
        <x:v>HYPERLINK is not implemented. linkLocation=https://data.zhiyitech.cn/itemDetail/overview/base?itemId=959682619579, friendlyName=打开知衣</x:v>
      </x:c>
      <x:c r="N307" s="25" t="e">
        <x:f>HYPERLINK("https://img.alicdn.com/bao/uploaded/i4/705619609/O1CN01FkEbmbpZNBG1chua-705619609.jpg","查看主图")</x:f>
        <x:v>HYPERLINK is not implemented. linkLocation=https://img.alicdn.com/bao/uploaded/i4/705619609/O1CN01FkEbmbpZNBG1chua-705619609.jpg, friendlyName=查看主图</x:v>
      </x:c>
      <x:c r="O307" s="9" t="str">
        <x:v>标题及既有类目语义复核；ELLASSAY歌力思秋冬新款棉莱赛尔航海牛仔半身裙女EWE363N013；原类目及标题已能确认半身裙；展示使用已知大类，未知裙长下沉到结构字段，不强猜长短。</x:v>
      </x:c>
      <x:c r="P307" s="9" t="str">
        <x:v>普通男女装</x:v>
      </x:c>
      <x:c r="Q307" s="9" t="str">
        <x:v>W_SKIRTS_AVGPAID_1700_1800_ANNUAL2026.xlsx</x:v>
      </x:c>
      <x:c r="R307" s="9" t="str">
        <x:v>默认</x:v>
      </x:c>
      <x:c r="S307" s="9" t="n">
        <x:v>357</x:v>
      </x:c>
      <x:c r="T307" s="9" t="str">
        <x:v>c25ed77c53c7c5cfcf728778a0e9b297d8689503f62756a939cbd534ca9b587a</x:v>
      </x:c>
      <x:c r="U307" s="9" t="str">
        <x:v>W_SKIRTS_AVGPAID_1700_1800_ANNUAL2026</x:v>
      </x:c>
      <x:c r="V307" s="9" t="str">
        <x:v>W_SKIRTS_AVGPAID_1700_1800_ANNUAL2026.xlsx / 默认 / 第357行 / SHA256 c25ed77c53c7c5cfcf728778a0e9b297d8689503f62756a939cbd534ca9b587a</x:v>
      </x:c>
    </x:row>
    <x:row r="308" ht="58" customHeight="1">
      <x:c r="A308" s="23" t="str">
        <x:v>965013193931</x:v>
      </x:c>
      <x:c r="B308" s="22"/>
      <x:c r="C308" s="22"/>
      <x:c r="D308" s="22"/>
      <x:c r="E308" s="9" t="str">
        <x:v>裙长未明确</x:v>
      </x:c>
      <x:c r="F308" s="9" t="str">
        <x:v>裙装</x:v>
      </x:c>
      <x:c r="G308" s="9" t="str">
        <x:v>半身裙</x:v>
      </x:c>
      <x:c r="H308" s="9" t="str">
        <x:v>女</x:v>
      </x:c>
      <x:c r="I308" s="9" t="str">
        <x:v>ELLASSAY歌力思秋冬新款复古美拉德棕直筒包臀A字皮裙半身裙女</x:v>
      </x:c>
      <x:c r="J308" s="9" t="str">
        <x:v>ELLASSAY/歌力思</x:v>
      </x:c>
      <x:c r="K308" s="24" t="n">
        <x:v>1595.91</x:v>
      </x:c>
      <x:c r="L308" s="25" t="e">
        <x:f>HYPERLINK("https://item.taobao.com/item.htm?id=965013193931","打开商品")</x:f>
        <x:v>HYPERLINK is not implemented. linkLocation=https://item.taobao.com/item.htm?id=965013193931, friendlyName=打开商品</x:v>
      </x:c>
      <x:c r="M308" s="25" t="e">
        <x:f>HYPERLINK("https://data.zhiyitech.cn/itemDetail/overview/base?itemId=965013193931","打开知衣")</x:f>
        <x:v>HYPERLINK is not implemented. linkLocation=https://data.zhiyitech.cn/itemDetail/overview/base?itemId=965013193931, friendlyName=打开知衣</x:v>
      </x:c>
      <x:c r="N308" s="25" t="e">
        <x:f>HYPERLINK("https://img.alicdn.com/bao/uploaded/i3/705619609/O1CN01CX9Gcle9hRC1chua-705619609.jpg","查看主图")</x:f>
        <x:v>HYPERLINK is not implemented. linkLocation=https://img.alicdn.com/bao/uploaded/i3/705619609/O1CN01CX9Gcle9hRC1chua-705619609.jpg, friendlyName=查看主图</x:v>
      </x:c>
      <x:c r="O308" s="9" t="str">
        <x:v>标题及既有类目语义复核；ELLASSAY歌力思秋冬新款复古美拉德棕直筒包臀A字皮裙半身裙女；原类目及标题已能确认半身裙；展示使用已知大类，未知裙长下沉到结构字段，不强猜长短。</x:v>
      </x:c>
      <x:c r="P308" s="9" t="str">
        <x:v>普通男女装</x:v>
      </x:c>
      <x:c r="Q308" s="9" t="str">
        <x:v>W_SKIRTS_AVGPAID_1500_1600_ANNUAL2026.xlsx</x:v>
      </x:c>
      <x:c r="R308" s="9" t="str">
        <x:v>默认</x:v>
      </x:c>
      <x:c r="S308" s="9" t="n">
        <x:v>177</x:v>
      </x:c>
      <x:c r="T308" s="9" t="str">
        <x:v>deede8b56943df4f914be45dba170f12e69064023d6ef0e88dbde1764f6ba23e</x:v>
      </x:c>
      <x:c r="U308" s="9" t="str">
        <x:v>W_SKIRTS_AVGPAID_1500_1600_ANNUAL2026</x:v>
      </x:c>
      <x:c r="V308" s="9" t="str">
        <x:v>W_SKIRTS_AVGPAID_1500_1600_ANNUAL2026.xlsx / 默认 / 第177行 / SHA256 deede8b56943df4f914be45dba170f12e69064023d6ef0e88dbde1764f6ba23e</x:v>
      </x:c>
    </x:row>
    <x:row r="309" ht="58" customHeight="1">
      <x:c r="A309" s="23" t="str">
        <x:v>1003768566799</x:v>
      </x:c>
      <x:c r="B309" s="22"/>
      <x:c r="C309" s="22"/>
      <x:c r="D309" s="22"/>
      <x:c r="E309" s="9" t="str">
        <x:v>裙长未明确</x:v>
      </x:c>
      <x:c r="F309" s="9" t="str">
        <x:v>裙装</x:v>
      </x:c>
      <x:c r="G309" s="9" t="str">
        <x:v>半身裙</x:v>
      </x:c>
      <x:c r="H309" s="9" t="str">
        <x:v>女</x:v>
      </x:c>
      <x:c r="I309" s="9" t="str">
        <x:v>EP雅莹半身裙 质感银葱压褶松紧腰a字网纱裙子 2026秋冬新款3405A</x:v>
      </x:c>
      <x:c r="J309" s="9" t="str">
        <x:v>EP YAYING/雅莹</x:v>
      </x:c>
      <x:c r="K309" s="24" t="n">
        <x:v>1755.17</x:v>
      </x:c>
      <x:c r="L309" s="25" t="e">
        <x:f>HYPERLINK("https://item.taobao.com/item.htm?id=1003768566799","打开商品")</x:f>
        <x:v>HYPERLINK is not implemented. linkLocation=https://item.taobao.com/item.htm?id=1003768566799, friendlyName=打开商品</x:v>
      </x:c>
      <x:c r="M309" s="25" t="e">
        <x:f>HYPERLINK("https://data.zhiyitech.cn/itemDetail/overview/base?itemId=1003768566799","打开知衣")</x:f>
        <x:v>HYPERLINK is not implemented. linkLocation=https://data.zhiyitech.cn/itemDetail/overview/base?itemId=1003768566799, friendlyName=打开知衣</x:v>
      </x:c>
      <x:c r="N309" s="25" t="e">
        <x:f>HYPERLINK("https://img.alicdn.com/bao/uploaded/i1/378537552/O1CN016tDtfv25esCWyPzQ8_!!4611686018427381328-0-item_pic.jpg","查看主图")</x:f>
        <x:v>HYPERLINK is not implemented. linkLocation=https://img.alicdn.com/bao/uploaded/i1/378537552/O1CN016tDtfv25esCWyPzQ8_!!4611686018427381328-0-item_pic.jpg, friendlyName=查看主图</x:v>
      </x:c>
      <x:c r="O309" s="9" t="str">
        <x:v>标题及既有类目语义复核；EP雅莹半身裙 质感银葱压褶松紧腰a字网纱裙子 2026秋冬新款3405A；原类目及标题已能确认半身裙；展示使用已知大类，未知裙长下沉到结构字段，不强猜长短。</x:v>
      </x:c>
      <x:c r="P309" s="9" t="str">
        <x:v>普通男女装</x:v>
      </x:c>
      <x:c r="Q309" s="9" t="str">
        <x:v>W_SKIRTS_AVGPAID_1700_1800_ANNUAL2026.xlsx</x:v>
      </x:c>
      <x:c r="R309" s="9" t="str">
        <x:v>默认</x:v>
      </x:c>
      <x:c r="S309" s="9" t="n">
        <x:v>110</x:v>
      </x:c>
      <x:c r="T309" s="9" t="str">
        <x:v>c25ed77c53c7c5cfcf728778a0e9b297d8689503f62756a939cbd534ca9b587a</x:v>
      </x:c>
      <x:c r="U309" s="9" t="str">
        <x:v>W_SKIRTS_AVGPAID_1700_1800_ANNUAL2026</x:v>
      </x:c>
      <x:c r="V309" s="9" t="str">
        <x:v>W_SKIRTS_AVGPAID_1700_1800_ANNUAL2026.xlsx / 默认 / 第110行 / SHA256 c25ed77c53c7c5cfcf728778a0e9b297d8689503f62756a939cbd534ca9b587a</x:v>
      </x:c>
    </x:row>
    <x:row r="310" ht="58" customHeight="1">
      <x:c r="A310" s="23" t="str">
        <x:v>1004277405124</x:v>
      </x:c>
      <x:c r="B310" s="22"/>
      <x:c r="C310" s="22"/>
      <x:c r="D310" s="22"/>
      <x:c r="E310" s="9" t="str">
        <x:v>裙长未明确</x:v>
      </x:c>
      <x:c r="F310" s="9" t="str">
        <x:v>裙装</x:v>
      </x:c>
      <x:c r="G310" s="9" t="str">
        <x:v>半身裙</x:v>
      </x:c>
      <x:c r="H310" s="9" t="str">
        <x:v>女</x:v>
      </x:c>
      <x:c r="I310" s="9" t="str">
        <x:v>EP雅莹半身裙 优雅肌理缎面手工捏褶伞裙 2026秋冬新款3329A</x:v>
      </x:c>
      <x:c r="J310" s="9" t="str">
        <x:v>EP YAYING/雅莹</x:v>
      </x:c>
      <x:c r="K310" s="24" t="n">
        <x:v>1551.91</x:v>
      </x:c>
      <x:c r="L310" s="25" t="e">
        <x:f>HYPERLINK("https://item.taobao.com/item.htm?id=1004277405124","打开商品")</x:f>
        <x:v>HYPERLINK is not implemented. linkLocation=https://item.taobao.com/item.htm?id=1004277405124, friendlyName=打开商品</x:v>
      </x:c>
      <x:c r="M310" s="25" t="e">
        <x:f>HYPERLINK("https://data.zhiyitech.cn/itemDetail/overview/base?itemId=1004277405124","打开知衣")</x:f>
        <x:v>HYPERLINK is not implemented. linkLocation=https://data.zhiyitech.cn/itemDetail/overview/base?itemId=1004277405124, friendlyName=打开知衣</x:v>
      </x:c>
      <x:c r="N310" s="25" t="e">
        <x:f>HYPERLINK("https://img.alicdn.com/bao/uploaded/i1/378537552/O1CN01XZY3bm25esEMOWIMU_!!4611686018427381328-0-item_pic.jpg","查看主图")</x:f>
        <x:v>HYPERLINK is not implemented. linkLocation=https://img.alicdn.com/bao/uploaded/i1/378537552/O1CN01XZY3bm25esEMOWIMU_!!4611686018427381328-0-item_pic.jpg, friendlyName=查看主图</x:v>
      </x:c>
      <x:c r="O310" s="9" t="str">
        <x:v>标题及既有类目语义复核；EP雅莹半身裙 优雅肌理缎面手工捏褶伞裙 2026秋冬新款3329A；原类目及标题已能确认半身裙；展示使用已知大类，未知裙长下沉到结构字段，不强猜长短。</x:v>
      </x:c>
      <x:c r="P310" s="9" t="str">
        <x:v>普通男女装</x:v>
      </x:c>
      <x:c r="Q310" s="9" t="str">
        <x:v>W_SKIRTS_AVGPAID_1500_1600_ANNUAL2026.xlsx</x:v>
      </x:c>
      <x:c r="R310" s="9" t="str">
        <x:v>默认</x:v>
      </x:c>
      <x:c r="S310" s="9" t="n">
        <x:v>129</x:v>
      </x:c>
      <x:c r="T310" s="9" t="str">
        <x:v>deede8b56943df4f914be45dba170f12e69064023d6ef0e88dbde1764f6ba23e</x:v>
      </x:c>
      <x:c r="U310" s="9" t="str">
        <x:v>W_SKIRTS_AVGPAID_1500_1600_ANNUAL2026</x:v>
      </x:c>
      <x:c r="V310" s="9" t="str">
        <x:v>W_SKIRTS_AVGPAID_1500_1600_ANNUAL2026.xlsx / 默认 / 第129行 / SHA256 deede8b56943df4f914be45dba170f12e69064023d6ef0e88dbde1764f6ba23e</x:v>
      </x:c>
    </x:row>
    <x:row r="311" ht="58" customHeight="1">
      <x:c r="A311" s="23" t="str">
        <x:v>1005017144602</x:v>
      </x:c>
      <x:c r="B311" s="22"/>
      <x:c r="C311" s="22"/>
      <x:c r="D311" s="22"/>
      <x:c r="E311" s="9" t="str">
        <x:v>裙长未明确</x:v>
      </x:c>
      <x:c r="F311" s="9" t="str">
        <x:v>裙装</x:v>
      </x:c>
      <x:c r="G311" s="9" t="str">
        <x:v>半身裙</x:v>
      </x:c>
      <x:c r="H311" s="9" t="str">
        <x:v>女</x:v>
      </x:c>
      <x:c r="I311" s="9" t="str">
        <x:v>EP雅莹半身裙 优雅烫银流光直筒百褶裙子 2026秋冬新款3428A</x:v>
      </x:c>
      <x:c r="J311" s="9" t="str">
        <x:v>EP YAYING/雅莹</x:v>
      </x:c>
      <x:c r="K311" s="24" t="n">
        <x:v>1566.5</x:v>
      </x:c>
      <x:c r="L311" s="25" t="e">
        <x:f>HYPERLINK("https://item.taobao.com/item.htm?id=1005017144602","打开商品")</x:f>
        <x:v>HYPERLINK is not implemented. linkLocation=https://item.taobao.com/item.htm?id=1005017144602, friendlyName=打开商品</x:v>
      </x:c>
      <x:c r="M311" s="25" t="e">
        <x:f>HYPERLINK("https://data.zhiyitech.cn/itemDetail/overview/base?itemId=1005017144602","打开知衣")</x:f>
        <x:v>HYPERLINK is not implemented. linkLocation=https://data.zhiyitech.cn/itemDetail/overview/base?itemId=1005017144602, friendlyName=打开知衣</x:v>
      </x:c>
      <x:c r="N311" s="25" t="e">
        <x:f>HYPERLINK("https://img.alicdn.com/bao/uploaded/i1/378537552/O1CN01tXrgVq25esEMgBoAM_!!4611686018427381328-0-item_pic.jpg","查看主图")</x:f>
        <x:v>HYPERLINK is not implemented. linkLocation=https://img.alicdn.com/bao/uploaded/i1/378537552/O1CN01tXrgVq25esEMgBoAM_!!4611686018427381328-0-item_pic.jpg, friendlyName=查看主图</x:v>
      </x:c>
      <x:c r="O311" s="9" t="str">
        <x:v>标题及既有类目语义复核；EP雅莹半身裙 优雅烫银流光直筒百褶裙子 2026秋冬新款3428A；原类目及标题已能确认半身裙；展示使用已知大类，未知裙长下沉到结构字段，不强猜长短。</x:v>
      </x:c>
      <x:c r="P311" s="9" t="str">
        <x:v>普通男女装</x:v>
      </x:c>
      <x:c r="Q311" s="9" t="str">
        <x:v>W_SKIRTS_AVGPAID_1500_1600_ANNUAL2026.xlsx</x:v>
      </x:c>
      <x:c r="R311" s="9" t="str">
        <x:v>默认</x:v>
      </x:c>
      <x:c r="S311" s="9" t="n">
        <x:v>189</x:v>
      </x:c>
      <x:c r="T311" s="9" t="str">
        <x:v>deede8b56943df4f914be45dba170f12e69064023d6ef0e88dbde1764f6ba23e</x:v>
      </x:c>
      <x:c r="U311" s="9" t="str">
        <x:v>W_SKIRTS_AVGPAID_1500_1600_ANNUAL2026</x:v>
      </x:c>
      <x:c r="V311" s="9" t="str">
        <x:v>W_SKIRTS_AVGPAID_1500_1600_ANNUAL2026.xlsx / 默认 / 第189行 / SHA256 deede8b56943df4f914be45dba170f12e69064023d6ef0e88dbde1764f6ba23e</x:v>
      </x:c>
    </x:row>
    <x:row r="312" ht="58" customHeight="1">
      <x:c r="A312" s="23" t="str">
        <x:v>1007483072004</x:v>
      </x:c>
      <x:c r="B312" s="22"/>
      <x:c r="C312" s="22"/>
      <x:c r="D312" s="22"/>
      <x:c r="E312" s="9" t="str">
        <x:v>裙长未明确</x:v>
      </x:c>
      <x:c r="F312" s="9" t="str">
        <x:v>裙装</x:v>
      </x:c>
      <x:c r="G312" s="9" t="str">
        <x:v>半身裙</x:v>
      </x:c>
      <x:c r="H312" s="9" t="str">
        <x:v>女</x:v>
      </x:c>
      <x:c r="I312" s="9" t="str">
        <x:v>雅莹学院风压褶a字半身裙</x:v>
      </x:c>
      <x:c r="J312" s="9" t="str">
        <x:v>EP YAYING/雅莹</x:v>
      </x:c>
      <x:c r="K312" s="24" t="n">
        <x:v>1709.04</x:v>
      </x:c>
      <x:c r="L312" s="25" t="e">
        <x:f>HYPERLINK("https://item.taobao.com/item.htm?id=1007483072004","打开商品")</x:f>
        <x:v>HYPERLINK is not implemented. linkLocation=https://item.taobao.com/item.htm?id=1007483072004, friendlyName=打开商品</x:v>
      </x:c>
      <x:c r="M312" s="25" t="e">
        <x:f>HYPERLINK("https://data.zhiyitech.cn/itemDetail/overview/base?itemId=1007483072004","打开知衣")</x:f>
        <x:v>HYPERLINK is not implemented. linkLocation=https://data.zhiyitech.cn/itemDetail/overview/base?itemId=1007483072004, friendlyName=打开知衣</x:v>
      </x:c>
      <x:c r="N312" s="25" t="e">
        <x:f>HYPERLINK("https://img.alicdn.com/bao/uploaded/i1/378537552/O1CN01UIcA9k25esCcBLVkO_!!4611686018427381328-0-item_pic.jpg","查看主图")</x:f>
        <x:v>HYPERLINK is not implemented. linkLocation=https://img.alicdn.com/bao/uploaded/i1/378537552/O1CN01UIcA9k25esCcBLVkO_!!4611686018427381328-0-item_pic.jpg, friendlyName=查看主图</x:v>
      </x:c>
      <x:c r="O312" s="9" t="str">
        <x:v>标题及既有类目语义复核；雅莹学院风压褶a字半身裙；原类目及标题已能确认半身裙；展示使用已知大类，未知裙长下沉到结构字段，不强猜长短。</x:v>
      </x:c>
      <x:c r="P312" s="9" t="str">
        <x:v>普通男女装</x:v>
      </x:c>
      <x:c r="Q312" s="9" t="str">
        <x:v>W_SKIRTS_AVGPAID_1700_1800_ANNUAL2026.xlsx</x:v>
      </x:c>
      <x:c r="R312" s="9" t="str">
        <x:v>默认</x:v>
      </x:c>
      <x:c r="S312" s="9" t="n">
        <x:v>272</x:v>
      </x:c>
      <x:c r="T312" s="9" t="str">
        <x:v>c25ed77c53c7c5cfcf728778a0e9b297d8689503f62756a939cbd534ca9b587a</x:v>
      </x:c>
      <x:c r="U312" s="9" t="str">
        <x:v>W_SKIRTS_AVGPAID_1700_1800_ANNUAL2026</x:v>
      </x:c>
      <x:c r="V312" s="9" t="str">
        <x:v>W_SKIRTS_AVGPAID_1700_1800_ANNUAL2026.xlsx / 默认 / 第272行 / SHA256 c25ed77c53c7c5cfcf728778a0e9b297d8689503f62756a939cbd534ca9b587a</x:v>
      </x:c>
    </x:row>
    <x:row r="313" ht="58" customHeight="1">
      <x:c r="A313" s="23" t="str">
        <x:v>1024657880138</x:v>
      </x:c>
      <x:c r="B313" s="22"/>
      <x:c r="C313" s="22"/>
      <x:c r="D313" s="22"/>
      <x:c r="E313" s="9" t="str">
        <x:v>裙长未明确</x:v>
      </x:c>
      <x:c r="F313" s="9" t="str">
        <x:v>裙装</x:v>
      </x:c>
      <x:c r="G313" s="9" t="str">
        <x:v>半身裙</x:v>
      </x:c>
      <x:c r="H313" s="9" t="str">
        <x:v>女</x:v>
      </x:c>
      <x:c r="I313" s="9" t="str">
        <x:v>EP雅莹2026春装烫钻开衩牛仔裙</x:v>
      </x:c>
      <x:c r="J313" s="9" t="str">
        <x:v>EP YAYING/雅莹</x:v>
      </x:c>
      <x:c r="K313" s="24" t="n">
        <x:v>1787.32</x:v>
      </x:c>
      <x:c r="L313" s="25" t="e">
        <x:f>HYPERLINK("https://item.taobao.com/item.htm?id=1024657880138","打开商品")</x:f>
        <x:v>HYPERLINK is not implemented. linkLocation=https://item.taobao.com/item.htm?id=1024657880138, friendlyName=打开商品</x:v>
      </x:c>
      <x:c r="M313" s="25" t="e">
        <x:f>HYPERLINK("https://data.zhiyitech.cn/itemDetail/overview/base?itemId=1024657880138","打开知衣")</x:f>
        <x:v>HYPERLINK is not implemented. linkLocation=https://data.zhiyitech.cn/itemDetail/overview/base?itemId=1024657880138, friendlyName=打开知衣</x:v>
      </x:c>
      <x:c r="N313" s="25" t="e">
        <x:f>HYPERLINK("https://img.alicdn.com/bao/uploaded/i4/2208192825113/O1CN01xEeReT1ndoD2JYF0Q_!!2208192825113.jpg","查看主图")</x:f>
        <x:v>HYPERLINK is not implemented. linkLocation=https://img.alicdn.com/bao/uploaded/i4/2208192825113/O1CN01xEeReT1ndoD2JYF0Q_!!2208192825113.jpg, friendlyName=查看主图</x:v>
      </x:c>
      <x:c r="O313" s="9" t="str">
        <x:v>标题及既有类目语义复核；EP雅莹2026春装烫钻开衩牛仔裙；原类目及标题已能确认半身裙；展示使用已知大类，未知裙长下沉到结构字段，不强猜长短。</x:v>
      </x:c>
      <x:c r="P313" s="9" t="str">
        <x:v>普通男女装</x:v>
      </x:c>
      <x:c r="Q313" s="9" t="str">
        <x:v>W_SKIRTS_AVGPAID_1700_1800_ANNUAL2026.xlsx</x:v>
      </x:c>
      <x:c r="R313" s="9" t="str">
        <x:v>默认</x:v>
      </x:c>
      <x:c r="S313" s="9" t="n">
        <x:v>347</x:v>
      </x:c>
      <x:c r="T313" s="9" t="str">
        <x:v>c25ed77c53c7c5cfcf728778a0e9b297d8689503f62756a939cbd534ca9b587a</x:v>
      </x:c>
      <x:c r="U313" s="9" t="str">
        <x:v>W_SKIRTS_AVGPAID_1700_1800_ANNUAL2026</x:v>
      </x:c>
      <x:c r="V313" s="9" t="str">
        <x:v>W_SKIRTS_AVGPAID_1700_1800_ANNUAL2026.xlsx / 默认 / 第347行 / SHA256 c25ed77c53c7c5cfcf728778a0e9b297d8689503f62756a939cbd534ca9b587a</x:v>
      </x:c>
    </x:row>
    <x:row r="314" ht="58" customHeight="1">
      <x:c r="A314" s="23" t="str">
        <x:v>1026709496499</x:v>
      </x:c>
      <x:c r="B314" s="22"/>
      <x:c r="C314" s="22"/>
      <x:c r="D314" s="22"/>
      <x:c r="E314" s="9" t="str">
        <x:v>裙长未明确</x:v>
      </x:c>
      <x:c r="F314" s="9" t="str">
        <x:v>裙装</x:v>
      </x:c>
      <x:c r="G314" s="9" t="str">
        <x:v>半身裙</x:v>
      </x:c>
      <x:c r="H314" s="9" t="str">
        <x:v>女</x:v>
      </x:c>
      <x:c r="I314" s="9" t="str">
        <x:v>雅莹100%纯棉印花伞裙A字半身裙</x:v>
      </x:c>
      <x:c r="J314" s="9" t="str">
        <x:v>EP YAYING/雅莹</x:v>
      </x:c>
      <x:c r="K314" s="24" t="n">
        <x:v>1700.27</x:v>
      </x:c>
      <x:c r="L314" s="25" t="e">
        <x:f>HYPERLINK("https://item.taobao.com/item.htm?id=1026709496499","打开商品")</x:f>
        <x:v>HYPERLINK is not implemented. linkLocation=https://item.taobao.com/item.htm?id=1026709496499, friendlyName=打开商品</x:v>
      </x:c>
      <x:c r="M314" s="25" t="e">
        <x:f>HYPERLINK("https://data.zhiyitech.cn/itemDetail/overview/base?itemId=1026709496499","打开知衣")</x:f>
        <x:v>HYPERLINK is not implemented. linkLocation=https://data.zhiyitech.cn/itemDetail/overview/base?itemId=1026709496499, friendlyName=打开知衣</x:v>
      </x:c>
      <x:c r="N314" s="25" t="e">
        <x:f>HYPERLINK("https://img.alicdn.com/bao/uploaded/i3/2208192825113/O1CN01k3GJFL1ndoEjk5zH7_!!2208192825113.jpg","查看主图")</x:f>
        <x:v>HYPERLINK is not implemented. linkLocation=https://img.alicdn.com/bao/uploaded/i3/2208192825113/O1CN01k3GJFL1ndoEjk5zH7_!!2208192825113.jpg, friendlyName=查看主图</x:v>
      </x:c>
      <x:c r="O314" s="9" t="str">
        <x:v>标题及既有类目语义复核；雅莹100%纯棉印花伞裙A字半身裙；原类目及标题已能确认半身裙；展示使用已知大类，未知裙长下沉到结构字段，不强猜长短。</x:v>
      </x:c>
      <x:c r="P314" s="9" t="str">
        <x:v>普通男女装</x:v>
      </x:c>
      <x:c r="Q314" s="9" t="str">
        <x:v>W_SKIRTS_AVGPAID_1700_1800_ANNUAL2026.xlsx</x:v>
      </x:c>
      <x:c r="R314" s="9" t="str">
        <x:v>默认</x:v>
      </x:c>
      <x:c r="S314" s="9" t="n">
        <x:v>268</x:v>
      </x:c>
      <x:c r="T314" s="9" t="str">
        <x:v>c25ed77c53c7c5cfcf728778a0e9b297d8689503f62756a939cbd534ca9b587a</x:v>
      </x:c>
      <x:c r="U314" s="9" t="str">
        <x:v>W_SKIRTS_AVGPAID_1700_1800_ANNUAL2026</x:v>
      </x:c>
      <x:c r="V314" s="9" t="str">
        <x:v>W_SKIRTS_AVGPAID_1700_1800_ANNUAL2026.xlsx / 默认 / 第268行 / SHA256 c25ed77c53c7c5cfcf728778a0e9b297d8689503f62756a939cbd534ca9b587a</x:v>
      </x:c>
    </x:row>
    <x:row r="315" ht="58" customHeight="1">
      <x:c r="A315" s="23" t="str">
        <x:v>1034968995863</x:v>
      </x:c>
      <x:c r="B315" s="22"/>
      <x:c r="C315" s="22"/>
      <x:c r="D315" s="22"/>
      <x:c r="E315" s="9" t="str">
        <x:v>裙长未明确</x:v>
      </x:c>
      <x:c r="F315" s="9" t="str">
        <x:v>裙装</x:v>
      </x:c>
      <x:c r="G315" s="9" t="str">
        <x:v>半身裙</x:v>
      </x:c>
      <x:c r="H315" s="9" t="str">
        <x:v>女</x:v>
      </x:c>
      <x:c r="I315" s="9" t="str">
        <x:v>EP雅莹半裙 苎麻混纺民族印花松紧腰A字 2026新款3302A</x:v>
      </x:c>
      <x:c r="J315" s="9" t="str">
        <x:v>EP YAYING/雅莹</x:v>
      </x:c>
      <x:c r="K315" s="24" t="n">
        <x:v>1750.67</x:v>
      </x:c>
      <x:c r="L315" s="25" t="e">
        <x:f>HYPERLINK("https://item.taobao.com/item.htm?id=1034968995863","打开商品")</x:f>
        <x:v>HYPERLINK is not implemented. linkLocation=https://item.taobao.com/item.htm?id=1034968995863, friendlyName=打开商品</x:v>
      </x:c>
      <x:c r="M315" s="25" t="e">
        <x:f>HYPERLINK("https://data.zhiyitech.cn/itemDetail/overview/base?itemId=1034968995863","打开知衣")</x:f>
        <x:v>HYPERLINK is not implemented. linkLocation=https://data.zhiyitech.cn/itemDetail/overview/base?itemId=1034968995863, friendlyName=打开知衣</x:v>
      </x:c>
      <x:c r="N315" s="25" t="e">
        <x:f>HYPERLINK("https://img.alicdn.com/bao/uploaded/i1/378537552/O1CN01zP4BUQ25esDrr3sP9_!!4611686018427381328-0-item_pic.jpg","查看主图")</x:f>
        <x:v>HYPERLINK is not implemented. linkLocation=https://img.alicdn.com/bao/uploaded/i1/378537552/O1CN01zP4BUQ25esDrr3sP9_!!4611686018427381328-0-item_pic.jpg, friendlyName=查看主图</x:v>
      </x:c>
      <x:c r="O315" s="9" t="str">
        <x:v>标题及既有类目语义复核；EP雅莹半裙 苎麻混纺民族印花松紧腰A字 2026新款3302A；原类目及标题已能确认半身裙；展示使用已知大类，未知裙长下沉到结构字段，不强猜长短。</x:v>
      </x:c>
      <x:c r="P315" s="9" t="str">
        <x:v>普通男女装</x:v>
      </x:c>
      <x:c r="Q315" s="9" t="str">
        <x:v>W_SKIRTS_AVGPAID_1700_1800_ANNUAL2026.xlsx</x:v>
      </x:c>
      <x:c r="R315" s="9" t="str">
        <x:v>默认</x:v>
      </x:c>
      <x:c r="S315" s="9" t="n">
        <x:v>22</x:v>
      </x:c>
      <x:c r="T315" s="9" t="str">
        <x:v>c25ed77c53c7c5cfcf728778a0e9b297d8689503f62756a939cbd534ca9b587a</x:v>
      </x:c>
      <x:c r="U315" s="9" t="str">
        <x:v>W_SKIRTS_AVGPAID_1700_1800_ANNUAL2026</x:v>
      </x:c>
      <x:c r="V315" s="9" t="str">
        <x:v>W_SKIRTS_AVGPAID_1700_1800_ANNUAL2026.xlsx / 默认 / 第22行 / SHA256 c25ed77c53c7c5cfcf728778a0e9b297d8689503f62756a939cbd534ca9b587a</x:v>
      </x:c>
    </x:row>
    <x:row r="316" ht="58" customHeight="1">
      <x:c r="A316" s="23" t="str">
        <x:v>1040970708302</x:v>
      </x:c>
      <x:c r="B316" s="22"/>
      <x:c r="C316" s="22"/>
      <x:c r="D316" s="22"/>
      <x:c r="E316" s="9" t="str">
        <x:v>裙长未明确</x:v>
      </x:c>
      <x:c r="F316" s="9" t="str">
        <x:v>裙装</x:v>
      </x:c>
      <x:c r="G316" s="9" t="str">
        <x:v>半身裙</x:v>
      </x:c>
      <x:c r="H316" s="9" t="str">
        <x:v>女</x:v>
      </x:c>
      <x:c r="I316" s="9" t="str">
        <x:v>EP雅莹牛仔半身裙女 民族风刺绣松紧腰蛋糕裙 2026新款J306A</x:v>
      </x:c>
      <x:c r="J316" s="9" t="str">
        <x:v>EP YAYING/雅莹</x:v>
      </x:c>
      <x:c r="K316" s="24" t="n">
        <x:v>1730.14</x:v>
      </x:c>
      <x:c r="L316" s="25" t="e">
        <x:f>HYPERLINK("https://item.taobao.com/item.htm?id=1040970708302","打开商品")</x:f>
        <x:v>HYPERLINK is not implemented. linkLocation=https://item.taobao.com/item.htm?id=1040970708302, friendlyName=打开商品</x:v>
      </x:c>
      <x:c r="M316" s="25" t="e">
        <x:f>HYPERLINK("https://data.zhiyitech.cn/itemDetail/overview/base?itemId=1040970708302","打开知衣")</x:f>
        <x:v>HYPERLINK is not implemented. linkLocation=https://data.zhiyitech.cn/itemDetail/overview/base?itemId=1040970708302, friendlyName=打开知衣</x:v>
      </x:c>
      <x:c r="N316" s="25" t="e">
        <x:f>HYPERLINK("https://img.alicdn.com/bao/uploaded/i3/378537552/O1CN01wy5FKs25esF4mW3EH_!!4611686018427381328-0-item_pic.jpg","查看主图")</x:f>
        <x:v>HYPERLINK is not implemented. linkLocation=https://img.alicdn.com/bao/uploaded/i3/378537552/O1CN01wy5FKs25esF4mW3EH_!!4611686018427381328-0-item_pic.jpg, friendlyName=查看主图</x:v>
      </x:c>
      <x:c r="O316" s="9" t="str">
        <x:v>标题及既有类目语义复核；EP雅莹牛仔半身裙女 民族风刺绣松紧腰蛋糕裙 2026新款J306A；原类目及标题已能确认半身裙；展示使用已知大类，未知裙长下沉到结构字段，不强猜长短。</x:v>
      </x:c>
      <x:c r="P316" s="9" t="str">
        <x:v>普通男女装</x:v>
      </x:c>
      <x:c r="Q316" s="9" t="str">
        <x:v>W_SKIRTS_AVGPAID_1700_1800_ANNUAL2026.xlsx</x:v>
      </x:c>
      <x:c r="R316" s="9" t="str">
        <x:v>默认</x:v>
      </x:c>
      <x:c r="S316" s="9" t="n">
        <x:v>72</x:v>
      </x:c>
      <x:c r="T316" s="9" t="str">
        <x:v>c25ed77c53c7c5cfcf728778a0e9b297d8689503f62756a939cbd534ca9b587a</x:v>
      </x:c>
      <x:c r="U316" s="9" t="str">
        <x:v>W_SKIRTS_AVGPAID_1700_1800_ANNUAL2026</x:v>
      </x:c>
      <x:c r="V316" s="9" t="str">
        <x:v>W_SKIRTS_AVGPAID_1700_1800_ANNUAL2026.xlsx / 默认 / 第72行 / SHA256 c25ed77c53c7c5cfcf728778a0e9b297d8689503f62756a939cbd534ca9b587a</x:v>
      </x:c>
    </x:row>
    <x:row r="317" ht="58" customHeight="1">
      <x:c r="A317" s="23" t="str">
        <x:v>1053907954380</x:v>
      </x:c>
      <x:c r="B317" s="22"/>
      <x:c r="C317" s="22"/>
      <x:c r="D317" s="22"/>
      <x:c r="E317" s="9" t="str">
        <x:v>裙长未明确</x:v>
      </x:c>
      <x:c r="F317" s="9" t="str">
        <x:v>裙装</x:v>
      </x:c>
      <x:c r="G317" s="9" t="str">
        <x:v>半身裙</x:v>
      </x:c>
      <x:c r="H317" s="9" t="str">
        <x:v>女</x:v>
      </x:c>
      <x:c r="I317" s="9" t="str">
        <x:v>EP雅莹半身裙 静奢风黑色立体压花肌理PU皮裙 2026秋冬新款3409A</x:v>
      </x:c>
      <x:c r="J317" s="9" t="str">
        <x:v>EP YAYING/雅莹</x:v>
      </x:c>
      <x:c r="K317" s="24" t="n">
        <x:v>1760.32</x:v>
      </x:c>
      <x:c r="L317" s="25" t="e">
        <x:f>HYPERLINK("https://item.taobao.com/item.htm?id=1053907954380","打开商品")</x:f>
        <x:v>HYPERLINK is not implemented. linkLocation=https://item.taobao.com/item.htm?id=1053907954380, friendlyName=打开商品</x:v>
      </x:c>
      <x:c r="M317" s="25" t="e">
        <x:f>HYPERLINK("https://data.zhiyitech.cn/itemDetail/overview/base?itemId=1053907954380","打开知衣")</x:f>
        <x:v>HYPERLINK is not implemented. linkLocation=https://data.zhiyitech.cn/itemDetail/overview/base?itemId=1053907954380, friendlyName=打开知衣</x:v>
      </x:c>
      <x:c r="N317" s="25" t="e">
        <x:f>HYPERLINK("https://img.alicdn.com/bao/uploaded/i3/378537552/O1CN01b4c7FE25esEOJABJ8_!!4611686018427381328-0-item_pic.jpg","查看主图")</x:f>
        <x:v>HYPERLINK is not implemented. linkLocation=https://img.alicdn.com/bao/uploaded/i3/378537552/O1CN01b4c7FE25esEOJABJ8_!!4611686018427381328-0-item_pic.jpg, friendlyName=查看主图</x:v>
      </x:c>
      <x:c r="O317" s="9" t="str">
        <x:v>标题及既有类目语义复核；EP雅莹半身裙 静奢风黑色立体压花肌理PU皮裙 2026秋冬新款3409A；原类目及标题已能确认半身裙；展示使用已知大类，未知裙长下沉到结构字段，不强猜长短。</x:v>
      </x:c>
      <x:c r="P317" s="9" t="str">
        <x:v>普通男女装</x:v>
      </x:c>
      <x:c r="Q317" s="9" t="str">
        <x:v>W_SKIRTS_AVGPAID_1700_1800_ANNUAL2026.xlsx</x:v>
      </x:c>
      <x:c r="R317" s="9" t="str">
        <x:v>默认</x:v>
      </x:c>
      <x:c r="S317" s="9" t="n">
        <x:v>155</x:v>
      </x:c>
      <x:c r="T317" s="9" t="str">
        <x:v>c25ed77c53c7c5cfcf728778a0e9b297d8689503f62756a939cbd534ca9b587a</x:v>
      </x:c>
      <x:c r="U317" s="9" t="str">
        <x:v>W_SKIRTS_AVGPAID_1700_1800_ANNUAL2026</x:v>
      </x:c>
      <x:c r="V317" s="9" t="str">
        <x:v>W_SKIRTS_AVGPAID_1700_1800_ANNUAL2026.xlsx / 默认 / 第155行 / SHA256 c25ed77c53c7c5cfcf728778a0e9b297d8689503f62756a939cbd534ca9b587a</x:v>
      </x:c>
    </x:row>
    <x:row r="318" ht="58" customHeight="1">
      <x:c r="A318" s="23" t="str">
        <x:v>1061963516101</x:v>
      </x:c>
      <x:c r="B318" s="22"/>
      <x:c r="C318" s="22"/>
      <x:c r="D318" s="22"/>
      <x:c r="E318" s="9" t="str">
        <x:v>裙长未明确</x:v>
      </x:c>
      <x:c r="F318" s="9" t="str">
        <x:v>裙装</x:v>
      </x:c>
      <x:c r="G318" s="9" t="str">
        <x:v>半身裙</x:v>
      </x:c>
      <x:c r="H318" s="9" t="str">
        <x:v>女</x:v>
      </x:c>
      <x:c r="I318" s="9" t="str">
        <x:v>EP雅莹半身裙 肌理感镂空褶艺飘逸网纱百褶裙 2026秋冬新款3410A</x:v>
      </x:c>
      <x:c r="J318" s="9" t="str">
        <x:v>EP YAYING/雅莹</x:v>
      </x:c>
      <x:c r="K318" s="24" t="n">
        <x:v>1758.96</x:v>
      </x:c>
      <x:c r="L318" s="25" t="e">
        <x:f>HYPERLINK("https://item.taobao.com/item.htm?id=1061963516101","打开商品")</x:f>
        <x:v>HYPERLINK is not implemented. linkLocation=https://item.taobao.com/item.htm?id=1061963516101, friendlyName=打开商品</x:v>
      </x:c>
      <x:c r="M318" s="25" t="e">
        <x:f>HYPERLINK("https://data.zhiyitech.cn/itemDetail/overview/base?itemId=1061963516101","打开知衣")</x:f>
        <x:v>HYPERLINK is not implemented. linkLocation=https://data.zhiyitech.cn/itemDetail/overview/base?itemId=1061963516101, friendlyName=打开知衣</x:v>
      </x:c>
      <x:c r="N318" s="25" t="e">
        <x:f>HYPERLINK("https://img.alicdn.com/bao/uploaded/i3/378537552/O1CN01moQdXX25esEmev0GA_!!4611686018427381328-0-item_pic.jpg","查看主图")</x:f>
        <x:v>HYPERLINK is not implemented. linkLocation=https://img.alicdn.com/bao/uploaded/i3/378537552/O1CN01moQdXX25esEmev0GA_!!4611686018427381328-0-item_pic.jpg, friendlyName=查看主图</x:v>
      </x:c>
      <x:c r="O318" s="9" t="str">
        <x:v>标题及既有类目语义复核；EP雅莹半身裙 肌理感镂空褶艺飘逸网纱百褶裙 2026秋冬新款3410A；原类目及标题已能确认半身裙；展示使用已知大类，未知裙长下沉到结构字段，不强猜长短。</x:v>
      </x:c>
      <x:c r="P318" s="9" t="str">
        <x:v>普通男女装</x:v>
      </x:c>
      <x:c r="Q318" s="9" t="str">
        <x:v>W_SKIRTS_AVGPAID_1700_1800_ANNUAL2026.xlsx</x:v>
      </x:c>
      <x:c r="R318" s="9" t="str">
        <x:v>默认</x:v>
      </x:c>
      <x:c r="S318" s="9" t="n">
        <x:v>81</x:v>
      </x:c>
      <x:c r="T318" s="9" t="str">
        <x:v>c25ed77c53c7c5cfcf728778a0e9b297d8689503f62756a939cbd534ca9b587a</x:v>
      </x:c>
      <x:c r="U318" s="9" t="str">
        <x:v>W_SKIRTS_AVGPAID_1700_1800_ANNUAL2026</x:v>
      </x:c>
      <x:c r="V318" s="9" t="str">
        <x:v>W_SKIRTS_AVGPAID_1700_1800_ANNUAL2026.xlsx / 默认 / 第81行 / SHA256 c25ed77c53c7c5cfcf728778a0e9b297d8689503f62756a939cbd534ca9b587a</x:v>
      </x:c>
    </x:row>
    <x:row r="319" ht="58" customHeight="1">
      <x:c r="A319" s="23" t="str">
        <x:v>1063414697038</x:v>
      </x:c>
      <x:c r="B319" s="22"/>
      <x:c r="C319" s="22"/>
      <x:c r="D319" s="22"/>
      <x:c r="E319" s="9" t="str">
        <x:v>裙长未明确</x:v>
      </x:c>
      <x:c r="F319" s="9" t="str">
        <x:v>裙装</x:v>
      </x:c>
      <x:c r="G319" s="9" t="str">
        <x:v>半身裙</x:v>
      </x:c>
      <x:c r="H319" s="9" t="str">
        <x:v>女</x:v>
      </x:c>
      <x:c r="I319" s="9" t="str">
        <x:v>EP雅莹开衩半裙 高腰围裹式设计感不规则半身裙 26秋冬新品3312A</x:v>
      </x:c>
      <x:c r="J319" s="9" t="str">
        <x:v>EP YAYING/雅莹</x:v>
      </x:c>
      <x:c r="K319" s="24" t="n">
        <x:v>1764.33</x:v>
      </x:c>
      <x:c r="L319" s="25" t="e">
        <x:f>HYPERLINK("https://item.taobao.com/item.htm?id=1063414697038","打开商品")</x:f>
        <x:v>HYPERLINK is not implemented. linkLocation=https://item.taobao.com/item.htm?id=1063414697038, friendlyName=打开商品</x:v>
      </x:c>
      <x:c r="M319" s="25" t="e">
        <x:f>HYPERLINK("https://data.zhiyitech.cn/itemDetail/overview/base?itemId=1063414697038","打开知衣")</x:f>
        <x:v>HYPERLINK is not implemented. linkLocation=https://data.zhiyitech.cn/itemDetail/overview/base?itemId=1063414697038, friendlyName=打开知衣</x:v>
      </x:c>
      <x:c r="N319" s="25" t="e">
        <x:f>HYPERLINK("https://img.alicdn.com/bao/uploaded/i4/378537552/O1CN01pHH7Exz93AC2vH2e_!!4611686018427381328-0-item_pic.jpg","查看主图")</x:f>
        <x:v>HYPERLINK is not implemented. linkLocation=https://img.alicdn.com/bao/uploaded/i4/378537552/O1CN01pHH7Exz93AC2vH2e_!!4611686018427381328-0-item_pic.jpg, friendlyName=查看主图</x:v>
      </x:c>
      <x:c r="O319" s="9" t="str">
        <x:v>标题及既有类目语义复核；EP雅莹开衩半裙 高腰围裹式设计感不规则半身裙 26秋冬新品3312A；原类目及标题已能确认半身裙；展示使用已知大类，未知裙长下沉到结构字段，不强猜长短。</x:v>
      </x:c>
      <x:c r="P319" s="9" t="str">
        <x:v>普通男女装</x:v>
      </x:c>
      <x:c r="Q319" s="9" t="str">
        <x:v>W_SKIRTS_AVGPAID_1700_1800_ANNUAL2026.xlsx</x:v>
      </x:c>
      <x:c r="R319" s="9" t="str">
        <x:v>默认</x:v>
      </x:c>
      <x:c r="S319" s="9" t="n">
        <x:v>222</x:v>
      </x:c>
      <x:c r="T319" s="9" t="str">
        <x:v>c25ed77c53c7c5cfcf728778a0e9b297d8689503f62756a939cbd534ca9b587a</x:v>
      </x:c>
      <x:c r="U319" s="9" t="str">
        <x:v>W_SKIRTS_AVGPAID_1700_1800_ANNUAL2026</x:v>
      </x:c>
      <x:c r="V319" s="9" t="str">
        <x:v>W_SKIRTS_AVGPAID_1700_1800_ANNUAL2026.xlsx / 默认 / 第222行 / SHA256 c25ed77c53c7c5cfcf728778a0e9b297d8689503f62756a939cbd534ca9b587a</x:v>
      </x:c>
    </x:row>
    <x:row r="320" ht="58" customHeight="1">
      <x:c r="A320" s="23" t="str">
        <x:v>1067284899021</x:v>
      </x:c>
      <x:c r="B320" s="22"/>
      <x:c r="C320" s="22"/>
      <x:c r="D320" s="22"/>
      <x:c r="E320" s="9" t="str">
        <x:v>裙长未明确</x:v>
      </x:c>
      <x:c r="F320" s="9" t="str">
        <x:v>裙装</x:v>
      </x:c>
      <x:c r="G320" s="9" t="str">
        <x:v>半身裙</x:v>
      </x:c>
      <x:c r="H320" s="9" t="str">
        <x:v>女</x:v>
      </x:c>
      <x:c r="I320" s="9" t="str">
        <x:v>EP雅莹半身裙女 可机洗人字纹含羊毛直筒裙子 2026秋冬新品3508A</x:v>
      </x:c>
      <x:c r="J320" s="9" t="str">
        <x:v>EP YAYING/雅莹</x:v>
      </x:c>
      <x:c r="K320" s="24" t="n">
        <x:v>1504.02</x:v>
      </x:c>
      <x:c r="L320" s="25" t="e">
        <x:f>HYPERLINK("https://item.taobao.com/item.htm?id=1067284899021","打开商品")</x:f>
        <x:v>HYPERLINK is not implemented. linkLocation=https://item.taobao.com/item.htm?id=1067284899021, friendlyName=打开商品</x:v>
      </x:c>
      <x:c r="M320" s="25" t="e">
        <x:f>HYPERLINK("https://data.zhiyitech.cn/itemDetail/overview/base?itemId=1067284899021","打开知衣")</x:f>
        <x:v>HYPERLINK is not implemented. linkLocation=https://data.zhiyitech.cn/itemDetail/overview/base?itemId=1067284899021, friendlyName=打开知衣</x:v>
      </x:c>
      <x:c r="N320" s="25" t="e">
        <x:f>HYPERLINK("https://img.alicdn.com/bao/uploaded/i1/378537552/O1CN01pnsJn425esFFhqO2M_!!4611686018427381328-0-item_pic.jpg","查看主图")</x:f>
        <x:v>HYPERLINK is not implemented. linkLocation=https://img.alicdn.com/bao/uploaded/i1/378537552/O1CN01pnsJn425esFFhqO2M_!!4611686018427381328-0-item_pic.jpg, friendlyName=查看主图</x:v>
      </x:c>
      <x:c r="O320" s="9" t="str">
        <x:v>标题及既有类目语义复核；EP雅莹半身裙女 可机洗人字纹含羊毛直筒裙子 2026秋冬新品3508A；原类目及标题已能确认半身裙；展示使用已知大类，未知裙长下沉到结构字段，不强猜长短。</x:v>
      </x:c>
      <x:c r="P320" s="9" t="str">
        <x:v>普通男女装</x:v>
      </x:c>
      <x:c r="Q320" s="9" t="str">
        <x:v>W_SKIRTS_AVGPAID_1500_1600_ANNUAL2026.xlsx</x:v>
      </x:c>
      <x:c r="R320" s="9" t="str">
        <x:v>默认</x:v>
      </x:c>
      <x:c r="S320" s="9" t="n">
        <x:v>233</x:v>
      </x:c>
      <x:c r="T320" s="9" t="str">
        <x:v>deede8b56943df4f914be45dba170f12e69064023d6ef0e88dbde1764f6ba23e</x:v>
      </x:c>
      <x:c r="U320" s="9" t="str">
        <x:v>W_SKIRTS_AVGPAID_1500_1600_ANNUAL2026</x:v>
      </x:c>
      <x:c r="V320" s="9" t="str">
        <x:v>W_SKIRTS_AVGPAID_1500_1600_ANNUAL2026.xlsx / 默认 / 第233行 / SHA256 deede8b56943df4f914be45dba170f12e69064023d6ef0e88dbde1764f6ba23e</x:v>
      </x:c>
    </x:row>
    <x:row r="321" ht="58" customHeight="1">
      <x:c r="A321" s="23" t="str">
        <x:v>1068493692771</x:v>
      </x:c>
      <x:c r="B321" s="22"/>
      <x:c r="C321" s="22"/>
      <x:c r="D321" s="22"/>
      <x:c r="E321" s="9" t="str">
        <x:v>裙长未明确</x:v>
      </x:c>
      <x:c r="F321" s="9" t="str">
        <x:v>裙装</x:v>
      </x:c>
      <x:c r="G321" s="9" t="str">
        <x:v>半身裙</x:v>
      </x:c>
      <x:c r="H321" s="9" t="str">
        <x:v>女</x:v>
      </x:c>
      <x:c r="I321" s="9" t="str">
        <x:v>EP雅莹半身裙女 可机洗格雷系灰色a字百褶裙 2026秋冬新款3408A</x:v>
      </x:c>
      <x:c r="J321" s="9" t="str">
        <x:v>EP YAYING/雅莹</x:v>
      </x:c>
      <x:c r="K321" s="24" t="n">
        <x:v>1762.38</x:v>
      </x:c>
      <x:c r="L321" s="25" t="e">
        <x:f>HYPERLINK("https://item.taobao.com/item.htm?id=1068493692771","打开商品")</x:f>
        <x:v>HYPERLINK is not implemented. linkLocation=https://item.taobao.com/item.htm?id=1068493692771, friendlyName=打开商品</x:v>
      </x:c>
      <x:c r="M321" s="25" t="e">
        <x:f>HYPERLINK("https://data.zhiyitech.cn/itemDetail/overview/base?itemId=1068493692771","打开知衣")</x:f>
        <x:v>HYPERLINK is not implemented. linkLocation=https://data.zhiyitech.cn/itemDetail/overview/base?itemId=1068493692771, friendlyName=打开知衣</x:v>
      </x:c>
      <x:c r="N321" s="25" t="e">
        <x:f>HYPERLINK("https://img.alicdn.com/bao/uploaded/i4/378537552/O1CN01X8TLlQdT9MB2vH2e_!!4611686018427381328-0-item_pic.jpg","查看主图")</x:f>
        <x:v>HYPERLINK is not implemented. linkLocation=https://img.alicdn.com/bao/uploaded/i4/378537552/O1CN01X8TLlQdT9MB2vH2e_!!4611686018427381328-0-item_pic.jpg, friendlyName=查看主图</x:v>
      </x:c>
      <x:c r="O321" s="9" t="str">
        <x:v>标题及既有类目语义复核；EP雅莹半身裙女 可机洗格雷系灰色a字百褶裙 2026秋冬新款3408A；原类目及标题已能确认半身裙；展示使用已知大类，未知裙长下沉到结构字段，不强猜长短。</x:v>
      </x:c>
      <x:c r="P321" s="9" t="str">
        <x:v>普通男女装</x:v>
      </x:c>
      <x:c r="Q321" s="9" t="str">
        <x:v>W_SKIRTS_AVGPAID_1700_1800_ANNUAL2026.xlsx</x:v>
      </x:c>
      <x:c r="R321" s="9" t="str">
        <x:v>默认</x:v>
      </x:c>
      <x:c r="S321" s="9" t="n">
        <x:v>42</x:v>
      </x:c>
      <x:c r="T321" s="9" t="str">
        <x:v>c25ed77c53c7c5cfcf728778a0e9b297d8689503f62756a939cbd534ca9b587a</x:v>
      </x:c>
      <x:c r="U321" s="9" t="str">
        <x:v>W_SKIRTS_AVGPAID_1700_1800_ANNUAL2026</x:v>
      </x:c>
      <x:c r="V321" s="9" t="str">
        <x:v>W_SKIRTS_AVGPAID_1700_1800_ANNUAL2026.xlsx / 默认 / 第42行 / SHA256 c25ed77c53c7c5cfcf728778a0e9b297d8689503f62756a939cbd534ca9b587a</x:v>
      </x:c>
    </x:row>
    <x:row r="322" ht="58" customHeight="1">
      <x:c r="A322" s="23" t="str">
        <x:v>1069316453568</x:v>
      </x:c>
      <x:c r="B322" s="22"/>
      <x:c r="C322" s="22"/>
      <x:c r="D322" s="22"/>
      <x:c r="E322" s="9" t="str">
        <x:v>裙长未明确</x:v>
      </x:c>
      <x:c r="F322" s="9" t="str">
        <x:v>裙装</x:v>
      </x:c>
      <x:c r="G322" s="9" t="str">
        <x:v>半身裙</x:v>
      </x:c>
      <x:c r="H322" s="9" t="str">
        <x:v>女</x:v>
      </x:c>
      <x:c r="I322" s="9" t="str">
        <x:v>EP雅莹针织半身裙 可机洗高腰肌理质感直筒裙 2026秋冬新款3507A</x:v>
      </x:c>
      <x:c r="J322" s="9" t="str">
        <x:v>EP YAYING/雅莹</x:v>
      </x:c>
      <x:c r="K322" s="24" t="n">
        <x:v>1500.83</x:v>
      </x:c>
      <x:c r="L322" s="25" t="e">
        <x:f>HYPERLINK("https://item.taobao.com/item.htm?id=1069316453568","打开商品")</x:f>
        <x:v>HYPERLINK is not implemented. linkLocation=https://item.taobao.com/item.htm?id=1069316453568, friendlyName=打开商品</x:v>
      </x:c>
      <x:c r="M322" s="25" t="e">
        <x:f>HYPERLINK("https://data.zhiyitech.cn/itemDetail/overview/base?itemId=1069316453568","打开知衣")</x:f>
        <x:v>HYPERLINK is not implemented. linkLocation=https://data.zhiyitech.cn/itemDetail/overview/base?itemId=1069316453568, friendlyName=打开知衣</x:v>
      </x:c>
      <x:c r="N322" s="25" t="e">
        <x:f>HYPERLINK("https://img.alicdn.com/bao/uploaded/i3/378537552/O1CN01lIvDmM25esFFfCMBp_!!4611686018427381328-0-item_pic.jpg","查看主图")</x:f>
        <x:v>HYPERLINK is not implemented. linkLocation=https://img.alicdn.com/bao/uploaded/i3/378537552/O1CN01lIvDmM25esFFfCMBp_!!4611686018427381328-0-item_pic.jpg, friendlyName=查看主图</x:v>
      </x:c>
      <x:c r="O322" s="9" t="str">
        <x:v>标题及既有类目语义复核；EP雅莹针织半身裙 可机洗高腰肌理质感直筒裙 2026秋冬新款3507A；原类目及标题已能确认半身裙；展示使用已知大类，未知裙长下沉到结构字段，不强猜长短。</x:v>
      </x:c>
      <x:c r="P322" s="9" t="str">
        <x:v>普通男女装</x:v>
      </x:c>
      <x:c r="Q322" s="9" t="str">
        <x:v>W_SKIRTS_AVGPAID_1500_1600_ANNUAL2026.xlsx</x:v>
      </x:c>
      <x:c r="R322" s="9" t="str">
        <x:v>默认</x:v>
      </x:c>
      <x:c r="S322" s="9" t="n">
        <x:v>314</x:v>
      </x:c>
      <x:c r="T322" s="9" t="str">
        <x:v>deede8b56943df4f914be45dba170f12e69064023d6ef0e88dbde1764f6ba23e</x:v>
      </x:c>
      <x:c r="U322" s="9" t="str">
        <x:v>W_SKIRTS_AVGPAID_1500_1600_ANNUAL2026</x:v>
      </x:c>
      <x:c r="V322" s="9" t="str">
        <x:v>W_SKIRTS_AVGPAID_1500_1600_ANNUAL2026.xlsx / 默认 / 第314行 / SHA256 deede8b56943df4f914be45dba170f12e69064023d6ef0e88dbde1764f6ba23e</x:v>
      </x:c>
    </x:row>
    <x:row r="323" ht="58" customHeight="1">
      <x:c r="A323" s="23" t="str">
        <x:v>1069906558343</x:v>
      </x:c>
      <x:c r="B323" s="22"/>
      <x:c r="C323" s="22"/>
      <x:c r="D323" s="22"/>
      <x:c r="E323" s="9" t="str">
        <x:v>裙长未明确</x:v>
      </x:c>
      <x:c r="F323" s="9" t="str">
        <x:v>裙装</x:v>
      </x:c>
      <x:c r="G323" s="9" t="str">
        <x:v>半身裙</x:v>
      </x:c>
      <x:c r="H323" s="9" t="str">
        <x:v>女</x:v>
      </x:c>
      <x:c r="I323" s="9" t="str">
        <x:v>【口碑之作】EP雅莹半身裙 菱格纹毛呢一步裙 2026秋冬新品3503A</x:v>
      </x:c>
      <x:c r="J323" s="9" t="str">
        <x:v>EP YAYING/雅莹</x:v>
      </x:c>
      <x:c r="K323" s="24" t="n">
        <x:v>1307.87</x:v>
      </x:c>
      <x:c r="L323" s="25" t="e">
        <x:f>HYPERLINK("https://item.taobao.com/item.htm?id=1069906558343","打开商品")</x:f>
        <x:v>HYPERLINK is not implemented. linkLocation=https://item.taobao.com/item.htm?id=1069906558343, friendlyName=打开商品</x:v>
      </x:c>
      <x:c r="M323" s="25" t="e">
        <x:f>HYPERLINK("https://data.zhiyitech.cn/itemDetail/overview/base?itemId=1069906558343","打开知衣")</x:f>
        <x:v>HYPERLINK is not implemented. linkLocation=https://data.zhiyitech.cn/itemDetail/overview/base?itemId=1069906558343, friendlyName=打开知衣</x:v>
      </x:c>
      <x:c r="N323" s="25" t="e">
        <x:f>HYPERLINK("https://img.alicdn.com/bao/uploaded/i1/378537552/O1CN01cU2OB3ESvHE2vH2e_!!4611686018427381328-0-item_pic.jpg","查看主图")</x:f>
        <x:v>HYPERLINK is not implemented. linkLocation=https://img.alicdn.com/bao/uploaded/i1/378537552/O1CN01cU2OB3ESvHE2vH2e_!!4611686018427381328-0-item_pic.jpg, friendlyName=查看主图</x:v>
      </x:c>
      <x:c r="O323" s="9" t="str">
        <x:v>标题及既有类目语义复核；【口碑之作】EP雅莹半身裙 菱格纹毛呢一步裙 2026秋冬新品3503A；原类目及标题已能确认半身裙；展示使用已知大类，未知裙长下沉到结构字段，不强猜长短。</x:v>
      </x:c>
      <x:c r="P323" s="9" t="str">
        <x:v>普通男女装</x:v>
      </x:c>
      <x:c r="Q323" s="9" t="str">
        <x:v>W_SKIRTS_AVGPAID_1300_1400_ANNUAL2026.xlsx</x:v>
      </x:c>
      <x:c r="R323" s="9" t="str">
        <x:v>默认</x:v>
      </x:c>
      <x:c r="S323" s="9" t="n">
        <x:v>145</x:v>
      </x:c>
      <x:c r="T323" s="9" t="str">
        <x:v>bd4dae1e08e9eca7ddd0669235bf59107cdc418b9c2898fc16f36a7ab5748692</x:v>
      </x:c>
      <x:c r="U323" s="9" t="str">
        <x:v>W_SKIRTS_AVGPAID_1300_1400_ANNUAL2026</x:v>
      </x:c>
      <x:c r="V323" s="9" t="str">
        <x:v>W_SKIRTS_AVGPAID_1300_1400_ANNUAL2026.xlsx / 默认 / 第145行 / SHA256 bd4dae1e08e9eca7ddd0669235bf59107cdc418b9c2898fc16f36a7ab5748692</x:v>
      </x:c>
    </x:row>
    <x:row r="324" ht="58" customHeight="1">
      <x:c r="A324" s="23" t="str">
        <x:v>1073995085980</x:v>
      </x:c>
      <x:c r="B324" s="22"/>
      <x:c r="C324" s="22"/>
      <x:c r="D324" s="22"/>
      <x:c r="E324" s="9" t="str">
        <x:v>裙长未明确</x:v>
      </x:c>
      <x:c r="F324" s="9" t="str">
        <x:v>裙装</x:v>
      </x:c>
      <x:c r="G324" s="9" t="str">
        <x:v>半身裙</x:v>
      </x:c>
      <x:c r="H324" s="9" t="str">
        <x:v>女</x:v>
      </x:c>
      <x:c r="I324" s="9" t="str">
        <x:v>EP雅莹半身裙 高腰亮面A字质感PU皮裙 2026秋冬新款3505A</x:v>
      </x:c>
      <x:c r="J324" s="9" t="str">
        <x:v>EP YAYING/雅莹</x:v>
      </x:c>
      <x:c r="K324" s="24" t="n">
        <x:v>1704.52</x:v>
      </x:c>
      <x:c r="L324" s="25" t="e">
        <x:f>HYPERLINK("https://item.taobao.com/item.htm?id=1073995085980","打开商品")</x:f>
        <x:v>HYPERLINK is not implemented. linkLocation=https://item.taobao.com/item.htm?id=1073995085980, friendlyName=打开商品</x:v>
      </x:c>
      <x:c r="M324" s="25" t="e">
        <x:f>HYPERLINK("https://data.zhiyitech.cn/itemDetail/overview/base?itemId=1073995085980","打开知衣")</x:f>
        <x:v>HYPERLINK is not implemented. linkLocation=https://data.zhiyitech.cn/itemDetail/overview/base?itemId=1073995085980, friendlyName=打开知衣</x:v>
      </x:c>
      <x:c r="N324" s="25" t="e">
        <x:f>HYPERLINK("https://img.alicdn.com/bao/uploaded/i4/378537552/O1CN01TCQGHF78cBK2vH2e_!!4611686018427381328-0-item_pic.jpg","查看主图")</x:f>
        <x:v>HYPERLINK is not implemented. linkLocation=https://img.alicdn.com/bao/uploaded/i4/378537552/O1CN01TCQGHF78cBK2vH2e_!!4611686018427381328-0-item_pic.jpg, friendlyName=查看主图</x:v>
      </x:c>
      <x:c r="O324" s="9" t="str">
        <x:v>标题及既有类目语义复核；EP雅莹半身裙 高腰亮面A字质感PU皮裙 2026秋冬新款3505A；原类目及标题已能确认半身裙；展示使用已知大类，未知裙长下沉到结构字段，不强猜长短。</x:v>
      </x:c>
      <x:c r="P324" s="9" t="str">
        <x:v>普通男女装</x:v>
      </x:c>
      <x:c r="Q324" s="9" t="str">
        <x:v>W_SKIRTS_AVGPAID_1700_1800_ANNUAL2026.xlsx</x:v>
      </x:c>
      <x:c r="R324" s="9" t="str">
        <x:v>默认</x:v>
      </x:c>
      <x:c r="S324" s="9" t="n">
        <x:v>365</x:v>
      </x:c>
      <x:c r="T324" s="9" t="str">
        <x:v>c25ed77c53c7c5cfcf728778a0e9b297d8689503f62756a939cbd534ca9b587a</x:v>
      </x:c>
      <x:c r="U324" s="9" t="str">
        <x:v>W_SKIRTS_AVGPAID_1700_1800_ANNUAL2026</x:v>
      </x:c>
      <x:c r="V324" s="9" t="str">
        <x:v>W_SKIRTS_AVGPAID_1700_1800_ANNUAL2026.xlsx / 默认 / 第365行 / SHA256 c25ed77c53c7c5cfcf728778a0e9b297d8689503f62756a939cbd534ca9b587a</x:v>
      </x:c>
    </x:row>
    <x:row r="325" ht="58" customHeight="1">
      <x:c r="A325" s="23" t="str">
        <x:v>1089305464617</x:v>
      </x:c>
      <x:c r="B325" s="22"/>
      <x:c r="C325" s="22"/>
      <x:c r="D325" s="22"/>
      <x:c r="E325" s="9" t="str">
        <x:v>裙长未明确</x:v>
      </x:c>
      <x:c r="F325" s="9" t="str">
        <x:v>裙装</x:v>
      </x:c>
      <x:c r="G325" s="9" t="str">
        <x:v>半身裙</x:v>
      </x:c>
      <x:c r="H325" s="9" t="str">
        <x:v>女</x:v>
      </x:c>
      <x:c r="I325" s="9" t="str">
        <x:v>EP雅莹半裙 可机洗羊毛空气层开衩弹力直筒裙</x:v>
      </x:c>
      <x:c r="J325" s="9" t="str">
        <x:v>EP YAYING/雅莹</x:v>
      </x:c>
      <x:c r="K325" s="24" t="n">
        <x:v>1502.4</x:v>
      </x:c>
      <x:c r="L325" s="25" t="e">
        <x:f>HYPERLINK("https://item.taobao.com/item.htm?id=1089305464617","打开商品")</x:f>
        <x:v>HYPERLINK is not implemented. linkLocation=https://item.taobao.com/item.htm?id=1089305464617, friendlyName=打开商品</x:v>
      </x:c>
      <x:c r="M325" s="25" t="e">
        <x:f>HYPERLINK("https://data.zhiyitech.cn/itemDetail/overview/base?itemId=1089305464617","打开知衣")</x:f>
        <x:v>HYPERLINK is not implemented. linkLocation=https://data.zhiyitech.cn/itemDetail/overview/base?itemId=1089305464617, friendlyName=打开知衣</x:v>
      </x:c>
      <x:c r="N325" s="25" t="e">
        <x:f>HYPERLINK("https://img.alicdn.com/bao/uploaded/i4/378537552/O1CN01SENAUdlJTdB2vH2e_!!4611686018427381328-0-item_pic.jpg","查看主图")</x:f>
        <x:v>HYPERLINK is not implemented. linkLocation=https://img.alicdn.com/bao/uploaded/i4/378537552/O1CN01SENAUdlJTdB2vH2e_!!4611686018427381328-0-item_pic.jpg, friendlyName=查看主图</x:v>
      </x:c>
      <x:c r="O325" s="9" t="str">
        <x:v>标题及既有类目语义复核；EP雅莹半裙 可机洗羊毛空气层开衩弹力直筒裙；原类目及标题已能确认半身裙；展示使用已知大类，未知裙长下沉到结构字段，不强猜长短。</x:v>
      </x:c>
      <x:c r="P325" s="9" t="str">
        <x:v>普通男女装</x:v>
      </x:c>
      <x:c r="Q325" s="9" t="str">
        <x:v>W_SKIRTS_AVGPAID_1500_1600_ANNUAL2026.xlsx</x:v>
      </x:c>
      <x:c r="R325" s="9" t="str">
        <x:v>默认</x:v>
      </x:c>
      <x:c r="S325" s="9" t="n">
        <x:v>364</x:v>
      </x:c>
      <x:c r="T325" s="9" t="str">
        <x:v>deede8b56943df4f914be45dba170f12e69064023d6ef0e88dbde1764f6ba23e</x:v>
      </x:c>
      <x:c r="U325" s="9" t="str">
        <x:v>W_SKIRTS_AVGPAID_1500_1600_ANNUAL2026</x:v>
      </x:c>
      <x:c r="V325" s="9" t="str">
        <x:v>W_SKIRTS_AVGPAID_1500_1600_ANNUAL2026.xlsx / 默认 / 第364行 / SHA256 deede8b56943df4f914be45dba170f12e69064023d6ef0e88dbde1764f6ba23e</x:v>
      </x:c>
    </x:row>
    <x:row r="326" ht="58" customHeight="1">
      <x:c r="A326" s="23" t="str">
        <x:v>668988799167</x:v>
      </x:c>
      <x:c r="B326" s="22"/>
      <x:c r="C326" s="22"/>
      <x:c r="D326" s="22"/>
      <x:c r="E326" s="9" t="str">
        <x:v>裙长未明确</x:v>
      </x:c>
      <x:c r="F326" s="9" t="str">
        <x:v>裙装</x:v>
      </x:c>
      <x:c r="G326" s="9" t="str">
        <x:v>半身裙</x:v>
      </x:c>
      <x:c r="H326" s="9" t="str">
        <x:v>女</x:v>
      </x:c>
      <x:c r="I326" s="9" t="str">
        <x:v>[匠心褶艺]EP雅莹女装 渐变百褶流光纱裙半身裙 商场同款3499Z</x:v>
      </x:c>
      <x:c r="J326" s="9" t="str">
        <x:v>EP YAYING/雅莹</x:v>
      </x:c>
      <x:c r="K326" s="24" t="n">
        <x:v>1512.82</x:v>
      </x:c>
      <x:c r="L326" s="25" t="e">
        <x:f>HYPERLINK("https://item.taobao.com/item.htm?id=668988799167","打开商品")</x:f>
        <x:v>HYPERLINK is not implemented. linkLocation=https://item.taobao.com/item.htm?id=668988799167, friendlyName=打开商品</x:v>
      </x:c>
      <x:c r="M326" s="25" t="e">
        <x:f>HYPERLINK("https://data.zhiyitech.cn/itemDetail/overview/base?itemId=668988799167","打开知衣")</x:f>
        <x:v>HYPERLINK is not implemented. linkLocation=https://data.zhiyitech.cn/itemDetail/overview/base?itemId=668988799167, friendlyName=打开知衣</x:v>
      </x:c>
      <x:c r="N326" s="25" t="e">
        <x:f>HYPERLINK("https://img.alicdn.com/bao/uploaded/i1/2208192825113/O1CN019Bv0SQ1ndnorXD3lk_!!2208192825113.jpg","查看主图")</x:f>
        <x:v>HYPERLINK is not implemented. linkLocation=https://img.alicdn.com/bao/uploaded/i1/2208192825113/O1CN019Bv0SQ1ndnorXD3lk_!!2208192825113.jpg, friendlyName=查看主图</x:v>
      </x:c>
      <x:c r="O326" s="9" t="str">
        <x:v>标题及既有类目语义复核；[匠心褶艺]EP雅莹女装 渐变百褶流光纱裙半身裙 商场同款3499Z；原类目及标题已能确认半身裙；展示使用已知大类，未知裙长下沉到结构字段，不强猜长短。</x:v>
      </x:c>
      <x:c r="P326" s="9" t="str">
        <x:v>普通男女装</x:v>
      </x:c>
      <x:c r="Q326" s="9" t="str">
        <x:v>W_SKIRTS_AVGPAID_1500_1600_ANNUAL2026.xlsx</x:v>
      </x:c>
      <x:c r="R326" s="9" t="str">
        <x:v>默认</x:v>
      </x:c>
      <x:c r="S326" s="9" t="n">
        <x:v>489</x:v>
      </x:c>
      <x:c r="T326" s="9" t="str">
        <x:v>deede8b56943df4f914be45dba170f12e69064023d6ef0e88dbde1764f6ba23e</x:v>
      </x:c>
      <x:c r="U326" s="9" t="str">
        <x:v>W_SKIRTS_AVGPAID_1500_1600_ANNUAL2026</x:v>
      </x:c>
      <x:c r="V326" s="9" t="str">
        <x:v>W_SKIRTS_AVGPAID_1500_1600_ANNUAL2026.xlsx / 默认 / 第489行 / SHA256 deede8b56943df4f914be45dba170f12e69064023d6ef0e88dbde1764f6ba23e</x:v>
      </x:c>
    </x:row>
    <x:row r="327" ht="58" customHeight="1">
      <x:c r="A327" s="23" t="str">
        <x:v>765811637548</x:v>
      </x:c>
      <x:c r="B327" s="22"/>
      <x:c r="C327" s="22"/>
      <x:c r="D327" s="22"/>
      <x:c r="E327" s="9" t="str">
        <x:v>裙长未明确</x:v>
      </x:c>
      <x:c r="F327" s="9" t="str">
        <x:v>裙装</x:v>
      </x:c>
      <x:c r="G327" s="9" t="str">
        <x:v>半身裙</x:v>
      </x:c>
      <x:c r="H327" s="9" t="str">
        <x:v>女</x:v>
      </x:c>
      <x:c r="I327" s="9" t="str">
        <x:v>EP雅莹纯棉A字伞摆压褶半身裙</x:v>
      </x:c>
      <x:c r="J327" s="9" t="str">
        <x:v>EP YAYING/雅莹</x:v>
      </x:c>
      <x:c r="K327" s="24" t="n">
        <x:v>1595.81</x:v>
      </x:c>
      <x:c r="L327" s="25" t="e">
        <x:f>HYPERLINK("https://item.taobao.com/item.htm?id=765811637548","打开商品")</x:f>
        <x:v>HYPERLINK is not implemented. linkLocation=https://item.taobao.com/item.htm?id=765811637548, friendlyName=打开商品</x:v>
      </x:c>
      <x:c r="M327" s="25" t="e">
        <x:f>HYPERLINK("https://data.zhiyitech.cn/itemDetail/overview/base?itemId=765811637548","打开知衣")</x:f>
        <x:v>HYPERLINK is not implemented. linkLocation=https://data.zhiyitech.cn/itemDetail/overview/base?itemId=765811637548, friendlyName=打开知衣</x:v>
      </x:c>
      <x:c r="N327" s="25" t="e">
        <x:f>HYPERLINK("https://img.alicdn.com/bao/uploaded/i4/378537552/O1CN01MM1c0225es7snJXkD_!!4611686018427381328-0-item_pic.jpg","查看主图")</x:f>
        <x:v>HYPERLINK is not implemented. linkLocation=https://img.alicdn.com/bao/uploaded/i4/378537552/O1CN01MM1c0225es7snJXkD_!!4611686018427381328-0-item_pic.jpg, friendlyName=查看主图</x:v>
      </x:c>
      <x:c r="O327" s="9" t="str">
        <x:v>标题及既有类目语义复核；EP雅莹纯棉A字伞摆压褶半身裙；原类目及标题已能确认半身裙；展示使用已知大类，未知裙长下沉到结构字段，不强猜长短。</x:v>
      </x:c>
      <x:c r="P327" s="9" t="str">
        <x:v>普通男女装</x:v>
      </x:c>
      <x:c r="Q327" s="9" t="str">
        <x:v>W_SKIRTS_AVGPAID_1500_1600_ANNUAL2026.xlsx</x:v>
      </x:c>
      <x:c r="R327" s="9" t="str">
        <x:v>默认</x:v>
      </x:c>
      <x:c r="S327" s="9" t="n">
        <x:v>331</x:v>
      </x:c>
      <x:c r="T327" s="9" t="str">
        <x:v>deede8b56943df4f914be45dba170f12e69064023d6ef0e88dbde1764f6ba23e</x:v>
      </x:c>
      <x:c r="U327" s="9" t="str">
        <x:v>W_SKIRTS_AVGPAID_1500_1600_ANNUAL2026</x:v>
      </x:c>
      <x:c r="V327" s="9" t="str">
        <x:v>W_SKIRTS_AVGPAID_1500_1600_ANNUAL2026.xlsx / 默认 / 第331行 / SHA256 deede8b56943df4f914be45dba170f12e69064023d6ef0e88dbde1764f6ba23e</x:v>
      </x:c>
    </x:row>
    <x:row r="328" ht="58" customHeight="1">
      <x:c r="A328" s="23" t="str">
        <x:v>774015677222</x:v>
      </x:c>
      <x:c r="B328" s="22"/>
      <x:c r="C328" s="22"/>
      <x:c r="D328" s="22"/>
      <x:c r="E328" s="9" t="str">
        <x:v>裙长未明确</x:v>
      </x:c>
      <x:c r="F328" s="9" t="str">
        <x:v>裙装</x:v>
      </x:c>
      <x:c r="G328" s="9" t="str">
        <x:v>半身裙</x:v>
      </x:c>
      <x:c r="H328" s="9" t="str">
        <x:v>女</x:v>
      </x:c>
      <x:c r="I328" s="9" t="str">
        <x:v>雅莹国风印花显瘦半身裙</x:v>
      </x:c>
      <x:c r="J328" s="9" t="str">
        <x:v>EP YAYING/雅莹</x:v>
      </x:c>
      <x:c r="K328" s="24" t="n">
        <x:v>1737.78</x:v>
      </x:c>
      <x:c r="L328" s="25" t="e">
        <x:f>HYPERLINK("https://item.taobao.com/item.htm?id=774015677222","打开商品")</x:f>
        <x:v>HYPERLINK is not implemented. linkLocation=https://item.taobao.com/item.htm?id=774015677222, friendlyName=打开商品</x:v>
      </x:c>
      <x:c r="M328" s="25" t="e">
        <x:f>HYPERLINK("https://data.zhiyitech.cn/itemDetail/overview/base?itemId=774015677222","打开知衣")</x:f>
        <x:v>HYPERLINK is not implemented. linkLocation=https://data.zhiyitech.cn/itemDetail/overview/base?itemId=774015677222, friendlyName=打开知衣</x:v>
      </x:c>
      <x:c r="N328" s="25" t="e">
        <x:f>HYPERLINK("https://img.alicdn.com/bao/uploaded/i2/378537552/O1CN01ugH2g125esAXVy7wA_!!4611686018427381328-0-item_pic.jpg","查看主图")</x:f>
        <x:v>HYPERLINK is not implemented. linkLocation=https://img.alicdn.com/bao/uploaded/i2/378537552/O1CN01ugH2g125esAXVy7wA_!!4611686018427381328-0-item_pic.jpg, friendlyName=查看主图</x:v>
      </x:c>
      <x:c r="O328" s="9" t="str">
        <x:v>标题及既有类目语义复核；雅莹国风印花显瘦半身裙；原类目及标题已能确认半身裙；展示使用已知大类，未知裙长下沉到结构字段，不强猜长短。</x:v>
      </x:c>
      <x:c r="P328" s="9" t="str">
        <x:v>普通男女装</x:v>
      </x:c>
      <x:c r="Q328" s="9" t="str">
        <x:v>W_SKIRTS_AVGPAID_1700_1800_ANNUAL2026.xlsx</x:v>
      </x:c>
      <x:c r="R328" s="9" t="str">
        <x:v>默认</x:v>
      </x:c>
      <x:c r="S328" s="9" t="n">
        <x:v>422</x:v>
      </x:c>
      <x:c r="T328" s="9" t="str">
        <x:v>c25ed77c53c7c5cfcf728778a0e9b297d8689503f62756a939cbd534ca9b587a</x:v>
      </x:c>
      <x:c r="U328" s="9" t="str">
        <x:v>W_SKIRTS_AVGPAID_1700_1800_ANNUAL2026</x:v>
      </x:c>
      <x:c r="V328" s="9" t="str">
        <x:v>W_SKIRTS_AVGPAID_1700_1800_ANNUAL2026.xlsx / 默认 / 第422行 / SHA256 c25ed77c53c7c5cfcf728778a0e9b297d8689503f62756a939cbd534ca9b587a</x:v>
      </x:c>
    </x:row>
    <x:row r="329" ht="58" customHeight="1">
      <x:c r="A329" s="23" t="str">
        <x:v>807038980438</x:v>
      </x:c>
      <x:c r="B329" s="22"/>
      <x:c r="C329" s="22"/>
      <x:c r="D329" s="22"/>
      <x:c r="E329" s="9" t="str">
        <x:v>裙长未明确</x:v>
      </x:c>
      <x:c r="F329" s="9" t="str">
        <x:v>裙装</x:v>
      </x:c>
      <x:c r="G329" s="9" t="str">
        <x:v>半身裙</x:v>
      </x:c>
      <x:c r="H329" s="9" t="str">
        <x:v>女</x:v>
      </x:c>
      <x:c r="I329" s="9" t="str">
        <x:v>[唐嫣同款]EP雅莹蛋白皮质感半身裙 不规则包臀裙 商场同款3107A</x:v>
      </x:c>
      <x:c r="J329" s="9" t="str">
        <x:v>EP YAYING/雅莹</x:v>
      </x:c>
      <x:c r="K329" s="24" t="n">
        <x:v>1312.09</x:v>
      </x:c>
      <x:c r="L329" s="25" t="e">
        <x:f>HYPERLINK("https://item.taobao.com/item.htm?id=807038980438","打开商品")</x:f>
        <x:v>HYPERLINK is not implemented. linkLocation=https://item.taobao.com/item.htm?id=807038980438, friendlyName=打开商品</x:v>
      </x:c>
      <x:c r="M329" s="25" t="e">
        <x:f>HYPERLINK("https://data.zhiyitech.cn/itemDetail/overview/base?itemId=807038980438","打开知衣")</x:f>
        <x:v>HYPERLINK is not implemented. linkLocation=https://data.zhiyitech.cn/itemDetail/overview/base?itemId=807038980438, friendlyName=打开知衣</x:v>
      </x:c>
      <x:c r="N329" s="25" t="e">
        <x:f>HYPERLINK("https://img.alicdn.com/bao/uploaded/i2/378537552/O1CN01XkACas25es71Arioi_!!4611686018427381328-0-item_pic.jpg","查看主图")</x:f>
        <x:v>HYPERLINK is not implemented. linkLocation=https://img.alicdn.com/bao/uploaded/i2/378537552/O1CN01XkACas25es71Arioi_!!4611686018427381328-0-item_pic.jpg, friendlyName=查看主图</x:v>
      </x:c>
      <x:c r="O329" s="9" t="str">
        <x:v>标题及既有类目语义复核；[唐嫣同款]EP雅莹蛋白皮质感半身裙 不规则包臀裙 商场同款3107A；原类目及标题已能确认半身裙；展示使用已知大类，未知裙长下沉到结构字段，不强猜长短。</x:v>
      </x:c>
      <x:c r="P329" s="9" t="str">
        <x:v>普通男女装</x:v>
      </x:c>
      <x:c r="Q329" s="9" t="str">
        <x:v>W_SKIRTS_AVGPAID_1300_1400_ANNUAL2026.xlsx</x:v>
      </x:c>
      <x:c r="R329" s="9" t="str">
        <x:v>默认</x:v>
      </x:c>
      <x:c r="S329" s="9" t="n">
        <x:v>73</x:v>
      </x:c>
      <x:c r="T329" s="9" t="str">
        <x:v>bd4dae1e08e9eca7ddd0669235bf59107cdc418b9c2898fc16f36a7ab5748692</x:v>
      </x:c>
      <x:c r="U329" s="9" t="str">
        <x:v>W_SKIRTS_AVGPAID_1300_1400_ANNUAL2026</x:v>
      </x:c>
      <x:c r="V329" s="9" t="str">
        <x:v>W_SKIRTS_AVGPAID_1300_1400_ANNUAL2026.xlsx / 默认 / 第73行 / SHA256 bd4dae1e08e9eca7ddd0669235bf59107cdc418b9c2898fc16f36a7ab5748692</x:v>
      </x:c>
    </x:row>
    <x:row r="330" ht="58" customHeight="1">
      <x:c r="A330" s="23" t="str">
        <x:v>815972205044</x:v>
      </x:c>
      <x:c r="B330" s="22"/>
      <x:c r="C330" s="22"/>
      <x:c r="D330" s="22"/>
      <x:c r="E330" s="9" t="str">
        <x:v>裙长未明确</x:v>
      </x:c>
      <x:c r="F330" s="9" t="str">
        <x:v>裙装</x:v>
      </x:c>
      <x:c r="G330" s="9" t="str">
        <x:v>半身裙</x:v>
      </x:c>
      <x:c r="H330" s="9" t="str">
        <x:v>女</x:v>
      </x:c>
      <x:c r="I330" s="9" t="str">
        <x:v>EP YAYING雅莹女装 黑色羊毛针织百褶半身裙 春夏商场同款9310A</x:v>
      </x:c>
      <x:c r="J330" s="9" t="str">
        <x:v>EP YAYING/雅莹</x:v>
      </x:c>
      <x:c r="K330" s="24" t="n">
        <x:v>1345.2</x:v>
      </x:c>
      <x:c r="L330" s="25" t="e">
        <x:f>HYPERLINK("https://item.taobao.com/item.htm?id=815972205044","打开商品")</x:f>
        <x:v>HYPERLINK is not implemented. linkLocation=https://item.taobao.com/item.htm?id=815972205044, friendlyName=打开商品</x:v>
      </x:c>
      <x:c r="M330" s="25" t="e">
        <x:f>HYPERLINK("https://data.zhiyitech.cn/itemDetail/overview/base?itemId=815972205044","打开知衣")</x:f>
        <x:v>HYPERLINK is not implemented. linkLocation=https://data.zhiyitech.cn/itemDetail/overview/base?itemId=815972205044, friendlyName=打开知衣</x:v>
      </x:c>
      <x:c r="N330" s="25" t="e">
        <x:f>HYPERLINK("https://img.alicdn.com/bao/uploaded/i2/378537552/O1CN01Xq9o8L25esBYQG2uS_!!4611686018427381328-0-item_pic.jpg","查看主图")</x:f>
        <x:v>HYPERLINK is not implemented. linkLocation=https://img.alicdn.com/bao/uploaded/i2/378537552/O1CN01Xq9o8L25esBYQG2uS_!!4611686018427381328-0-item_pic.jpg, friendlyName=查看主图</x:v>
      </x:c>
      <x:c r="O330" s="9" t="str">
        <x:v>标题及既有类目语义复核；EP YAYING雅莹女装 黑色羊毛针织百褶半身裙 春夏商场同款9310A；原类目及标题已能确认半身裙；展示使用已知大类，未知裙长下沉到结构字段，不强猜长短。</x:v>
      </x:c>
      <x:c r="P330" s="9" t="str">
        <x:v>普通男女装</x:v>
      </x:c>
      <x:c r="Q330" s="9" t="str">
        <x:v>W_SKIRTS_AVGPAID_1300_1400_ANNUAL2026.xlsx</x:v>
      </x:c>
      <x:c r="R330" s="9" t="str">
        <x:v>默认</x:v>
      </x:c>
      <x:c r="S330" s="9" t="n">
        <x:v>248</x:v>
      </x:c>
      <x:c r="T330" s="9" t="str">
        <x:v>bd4dae1e08e9eca7ddd0669235bf59107cdc418b9c2898fc16f36a7ab5748692</x:v>
      </x:c>
      <x:c r="U330" s="9" t="str">
        <x:v>W_SKIRTS_AVGPAID_1300_1400_ANNUAL2026</x:v>
      </x:c>
      <x:c r="V330" s="9" t="str">
        <x:v>W_SKIRTS_AVGPAID_1300_1400_ANNUAL2026.xlsx / 默认 / 第248行 / SHA256 bd4dae1e08e9eca7ddd0669235bf59107cdc418b9c2898fc16f36a7ab5748692</x:v>
      </x:c>
    </x:row>
    <x:row r="331" ht="58" customHeight="1">
      <x:c r="A331" s="23" t="str">
        <x:v>815982301482</x:v>
      </x:c>
      <x:c r="B331" s="22"/>
      <x:c r="C331" s="22"/>
      <x:c r="D331" s="22"/>
      <x:c r="E331" s="9" t="str">
        <x:v>裙长未明确</x:v>
      </x:c>
      <x:c r="F331" s="9" t="str">
        <x:v>裙装</x:v>
      </x:c>
      <x:c r="G331" s="9" t="str">
        <x:v>半身裙</x:v>
      </x:c>
      <x:c r="H331" s="9" t="str">
        <x:v>女</x:v>
      </x:c>
      <x:c r="I331" s="9" t="str">
        <x:v>EP雅莹鱼尾裙 丝绒高腰垂感桑蚕丝包臀半身裙 秋季商场同款3201A</x:v>
      </x:c>
      <x:c r="J331" s="9" t="str">
        <x:v>EP YAYING/雅莹</x:v>
      </x:c>
      <x:c r="K331" s="24" t="n">
        <x:v>1707.37</x:v>
      </x:c>
      <x:c r="L331" s="25" t="e">
        <x:f>HYPERLINK("https://item.taobao.com/item.htm?id=815982301482","打开商品")</x:f>
        <x:v>HYPERLINK is not implemented. linkLocation=https://item.taobao.com/item.htm?id=815982301482, friendlyName=打开商品</x:v>
      </x:c>
      <x:c r="M331" s="25" t="e">
        <x:f>HYPERLINK("https://data.zhiyitech.cn/itemDetail/overview/base?itemId=815982301482","打开知衣")</x:f>
        <x:v>HYPERLINK is not implemented. linkLocation=https://data.zhiyitech.cn/itemDetail/overview/base?itemId=815982301482, friendlyName=打开知衣</x:v>
      </x:c>
      <x:c r="N331" s="25" t="e">
        <x:f>HYPERLINK("https://img.alicdn.com/bao/uploaded/i2/378537552/O1CN01IWBGP825es7lE4bIn_!!4611686018427381328-0-item_pic.jpg","查看主图")</x:f>
        <x:v>HYPERLINK is not implemented. linkLocation=https://img.alicdn.com/bao/uploaded/i2/378537552/O1CN01IWBGP825es7lE4bIn_!!4611686018427381328-0-item_pic.jpg, friendlyName=查看主图</x:v>
      </x:c>
      <x:c r="O331" s="9" t="str">
        <x:v>标题及既有类目语义复核；EP雅莹鱼尾裙 丝绒高腰垂感桑蚕丝包臀半身裙 秋季商场同款3201A；原类目及标题已能确认半身裙；展示使用已知大类，未知裙长下沉到结构字段，不强猜长短。</x:v>
      </x:c>
      <x:c r="P331" s="9" t="str">
        <x:v>普通男女装</x:v>
      </x:c>
      <x:c r="Q331" s="9" t="str">
        <x:v>W_SKIRTS_AVGPAID_1700_1800_ANNUAL2026.xlsx</x:v>
      </x:c>
      <x:c r="R331" s="9" t="str">
        <x:v>默认</x:v>
      </x:c>
      <x:c r="S331" s="9" t="n">
        <x:v>226</x:v>
      </x:c>
      <x:c r="T331" s="9" t="str">
        <x:v>c25ed77c53c7c5cfcf728778a0e9b297d8689503f62756a939cbd534ca9b587a</x:v>
      </x:c>
      <x:c r="U331" s="9" t="str">
        <x:v>W_SKIRTS_AVGPAID_1700_1800_ANNUAL2026</x:v>
      </x:c>
      <x:c r="V331" s="9" t="str">
        <x:v>W_SKIRTS_AVGPAID_1700_1800_ANNUAL2026.xlsx / 默认 / 第226行 / SHA256 c25ed77c53c7c5cfcf728778a0e9b297d8689503f62756a939cbd534ca9b587a</x:v>
      </x:c>
    </x:row>
    <x:row r="332" ht="58" customHeight="1">
      <x:c r="A332" s="23" t="str">
        <x:v>838647474619</x:v>
      </x:c>
      <x:c r="B332" s="22"/>
      <x:c r="C332" s="22"/>
      <x:c r="D332" s="22"/>
      <x:c r="E332" s="9" t="str">
        <x:v>裙长未明确</x:v>
      </x:c>
      <x:c r="F332" s="9" t="str">
        <x:v>裙装</x:v>
      </x:c>
      <x:c r="G332" s="9" t="str">
        <x:v>半身裙</x:v>
      </x:c>
      <x:c r="H332" s="9" t="str">
        <x:v>女</x:v>
      </x:c>
      <x:c r="I332" s="9" t="str">
        <x:v>[唐嫣同款]EP雅莹花苞裙 蛋白皮质感不规则a字半裙 商场同款3407A</x:v>
      </x:c>
      <x:c r="J332" s="9" t="str">
        <x:v>EP YAYING/雅莹</x:v>
      </x:c>
      <x:c r="K332" s="24" t="n">
        <x:v>1378.2</x:v>
      </x:c>
      <x:c r="L332" s="25" t="e">
        <x:f>HYPERLINK("https://item.taobao.com/item.htm?id=838647474619","打开商品")</x:f>
        <x:v>HYPERLINK is not implemented. linkLocation=https://item.taobao.com/item.htm?id=838647474619, friendlyName=打开商品</x:v>
      </x:c>
      <x:c r="M332" s="25" t="e">
        <x:f>HYPERLINK("https://data.zhiyitech.cn/itemDetail/overview/base?itemId=838647474619","打开知衣")</x:f>
        <x:v>HYPERLINK is not implemented. linkLocation=https://data.zhiyitech.cn/itemDetail/overview/base?itemId=838647474619, friendlyName=打开知衣</x:v>
      </x:c>
      <x:c r="N332" s="25" t="e">
        <x:f>HYPERLINK("https://img.alicdn.com/bao/uploaded/i1/378537552/O1CN01EAadSg25es5glPDs3_!!0-item_pic.jpg","查看主图")</x:f>
        <x:v>HYPERLINK is not implemented. linkLocation=https://img.alicdn.com/bao/uploaded/i1/378537552/O1CN01EAadSg25es5glPDs3_!!0-item_pic.jpg, friendlyName=查看主图</x:v>
      </x:c>
      <x:c r="O332" s="9" t="str">
        <x:v>标题及既有类目语义复核；[唐嫣同款]EP雅莹花苞裙 蛋白皮质感不规则a字半裙 商场同款3407A；原类目及标题已能确认半身裙；展示使用已知大类，未知裙长下沉到结构字段，不强猜长短。</x:v>
      </x:c>
      <x:c r="P332" s="9" t="str">
        <x:v>普通男女装</x:v>
      </x:c>
      <x:c r="Q332" s="9" t="str">
        <x:v>W_SKIRTS_AVGPAID_1300_1400_ANNUAL2026.xlsx</x:v>
      </x:c>
      <x:c r="R332" s="9" t="str">
        <x:v>默认</x:v>
      </x:c>
      <x:c r="S332" s="9" t="n">
        <x:v>153</x:v>
      </x:c>
      <x:c r="T332" s="9" t="str">
        <x:v>bd4dae1e08e9eca7ddd0669235bf59107cdc418b9c2898fc16f36a7ab5748692</x:v>
      </x:c>
      <x:c r="U332" s="9" t="str">
        <x:v>W_SKIRTS_AVGPAID_1300_1400_ANNUAL2026</x:v>
      </x:c>
      <x:c r="V332" s="9" t="str">
        <x:v>W_SKIRTS_AVGPAID_1300_1400_ANNUAL2026.xlsx / 默认 / 第153行 / SHA256 bd4dae1e08e9eca7ddd0669235bf59107cdc418b9c2898fc16f36a7ab5748692</x:v>
      </x:c>
    </x:row>
    <x:row r="333" ht="58" customHeight="1">
      <x:c r="A333" s="23" t="str">
        <x:v>857513942192</x:v>
      </x:c>
      <x:c r="B333" s="22"/>
      <x:c r="C333" s="22"/>
      <x:c r="D333" s="22"/>
      <x:c r="E333" s="9" t="str">
        <x:v>裙长未明确</x:v>
      </x:c>
      <x:c r="F333" s="9" t="str">
        <x:v>裙装</x:v>
      </x:c>
      <x:c r="G333" s="9" t="str">
        <x:v>半身裙</x:v>
      </x:c>
      <x:c r="H333" s="9" t="str">
        <x:v>女</x:v>
      </x:c>
      <x:c r="I333" s="9" t="str">
        <x:v>EP雅莹2025春季新款女装 质感丝绒高腰鱼尾裙真丝包臀半身裙3318B</x:v>
      </x:c>
      <x:c r="J333" s="9" t="str">
        <x:v>EP YAYING/雅莹</x:v>
      </x:c>
      <x:c r="K333" s="24" t="n">
        <x:v>1546.47</x:v>
      </x:c>
      <x:c r="L333" s="25" t="e">
        <x:f>HYPERLINK("https://item.taobao.com/item.htm?id=857513942192","打开商品")</x:f>
        <x:v>HYPERLINK is not implemented. linkLocation=https://item.taobao.com/item.htm?id=857513942192, friendlyName=打开商品</x:v>
      </x:c>
      <x:c r="M333" s="25" t="e">
        <x:f>HYPERLINK("https://data.zhiyitech.cn/itemDetail/overview/base?itemId=857513942192","打开知衣")</x:f>
        <x:v>HYPERLINK is not implemented. linkLocation=https://data.zhiyitech.cn/itemDetail/overview/base?itemId=857513942192, friendlyName=打开知衣</x:v>
      </x:c>
      <x:c r="N333" s="25" t="e">
        <x:f>HYPERLINK("https://img.alicdn.com/bao/uploaded/i3/378537552/O1CN01QnHR7H25es7M9lRaq_!!4611686018427381328-0-item_pic.jpg","查看主图")</x:f>
        <x:v>HYPERLINK is not implemented. linkLocation=https://img.alicdn.com/bao/uploaded/i3/378537552/O1CN01QnHR7H25es7M9lRaq_!!4611686018427381328-0-item_pic.jpg, friendlyName=查看主图</x:v>
      </x:c>
      <x:c r="O333" s="9" t="str">
        <x:v>标题及既有类目语义复核；EP雅莹2025春季新款女装 质感丝绒高腰鱼尾裙真丝包臀半身裙3318B；原类目及标题已能确认半身裙；展示使用已知大类，未知裙长下沉到结构字段，不强猜长短。</x:v>
      </x:c>
      <x:c r="P333" s="9" t="str">
        <x:v>普通男女装</x:v>
      </x:c>
      <x:c r="Q333" s="9" t="str">
        <x:v>W_SKIRTS_AVGPAID_1500_1600_ANNUAL2026.xlsx</x:v>
      </x:c>
      <x:c r="R333" s="9" t="str">
        <x:v>默认</x:v>
      </x:c>
      <x:c r="S333" s="9" t="n">
        <x:v>461</x:v>
      </x:c>
      <x:c r="T333" s="9" t="str">
        <x:v>deede8b56943df4f914be45dba170f12e69064023d6ef0e88dbde1764f6ba23e</x:v>
      </x:c>
      <x:c r="U333" s="9" t="str">
        <x:v>W_SKIRTS_AVGPAID_1500_1600_ANNUAL2026</x:v>
      </x:c>
      <x:c r="V333" s="9" t="str">
        <x:v>W_SKIRTS_AVGPAID_1500_1600_ANNUAL2026.xlsx / 默认 / 第461行 / SHA256 deede8b56943df4f914be45dba170f12e69064023d6ef0e88dbde1764f6ba23e</x:v>
      </x:c>
    </x:row>
    <x:row r="334" ht="58" customHeight="1">
      <x:c r="A334" s="23" t="str">
        <x:v>858635632493</x:v>
      </x:c>
      <x:c r="B334" s="22"/>
      <x:c r="C334" s="22"/>
      <x:c r="D334" s="22"/>
      <x:c r="E334" s="9" t="str">
        <x:v>裙长未明确</x:v>
      </x:c>
      <x:c r="F334" s="9" t="str">
        <x:v>裙装</x:v>
      </x:c>
      <x:c r="G334" s="9" t="str">
        <x:v>半身裙</x:v>
      </x:c>
      <x:c r="H334" s="9" t="str">
        <x:v>女</x:v>
      </x:c>
      <x:c r="I334" s="9" t="str">
        <x:v>EP雅莹2025春季新款女装 轻奢宴会三醋酸刺绣新中式半身裙女3315A</x:v>
      </x:c>
      <x:c r="J334" s="9" t="str">
        <x:v>EP YAYING/雅莹</x:v>
      </x:c>
      <x:c r="K334" s="24" t="n">
        <x:v>1737.73</x:v>
      </x:c>
      <x:c r="L334" s="25" t="e">
        <x:f>HYPERLINK("https://item.taobao.com/item.htm?id=858635632493","打开商品")</x:f>
        <x:v>HYPERLINK is not implemented. linkLocation=https://item.taobao.com/item.htm?id=858635632493, friendlyName=打开商品</x:v>
      </x:c>
      <x:c r="M334" s="25" t="e">
        <x:f>HYPERLINK("https://data.zhiyitech.cn/itemDetail/overview/base?itemId=858635632493","打开知衣")</x:f>
        <x:v>HYPERLINK is not implemented. linkLocation=https://data.zhiyitech.cn/itemDetail/overview/base?itemId=858635632493, friendlyName=打开知衣</x:v>
      </x:c>
      <x:c r="N334" s="25" t="e">
        <x:f>HYPERLINK("https://img.alicdn.com/bao/uploaded/i1/378537552/O1CN01FB6U4L25es7Z6JjMI_!!4611686018427381328-0-item_pic.jpg","查看主图")</x:f>
        <x:v>HYPERLINK is not implemented. linkLocation=https://img.alicdn.com/bao/uploaded/i1/378537552/O1CN01FB6U4L25es7Z6JjMI_!!4611686018427381328-0-item_pic.jpg, friendlyName=查看主图</x:v>
      </x:c>
      <x:c r="O334" s="9" t="str">
        <x:v>标题及既有类目语义复核；EP雅莹2025春季新款女装 轻奢宴会三醋酸刺绣新中式半身裙女3315A；原类目及标题已能确认半身裙；展示使用已知大类，未知裙长下沉到结构字段，不强猜长短。</x:v>
      </x:c>
      <x:c r="P334" s="9" t="str">
        <x:v>普通男女装</x:v>
      </x:c>
      <x:c r="Q334" s="9" t="str">
        <x:v>W_SKIRTS_AVGPAID_1700_1800_ANNUAL2026.xlsx</x:v>
      </x:c>
      <x:c r="R334" s="9" t="str">
        <x:v>默认</x:v>
      </x:c>
      <x:c r="S334" s="9" t="n">
        <x:v>412</x:v>
      </x:c>
      <x:c r="T334" s="9" t="str">
        <x:v>c25ed77c53c7c5cfcf728778a0e9b297d8689503f62756a939cbd534ca9b587a</x:v>
      </x:c>
      <x:c r="U334" s="9" t="str">
        <x:v>W_SKIRTS_AVGPAID_1700_1800_ANNUAL2026</x:v>
      </x:c>
      <x:c r="V334" s="9" t="str">
        <x:v>W_SKIRTS_AVGPAID_1700_1800_ANNUAL2026.xlsx / 默认 / 第412行 / SHA256 c25ed77c53c7c5cfcf728778a0e9b297d8689503f62756a939cbd534ca9b587a</x:v>
      </x:c>
    </x:row>
    <x:row r="335" ht="58" customHeight="1">
      <x:c r="A335" s="23" t="str">
        <x:v>897284821331</x:v>
      </x:c>
      <x:c r="B335" s="22"/>
      <x:c r="C335" s="22"/>
      <x:c r="D335" s="22"/>
      <x:c r="E335" s="9" t="str">
        <x:v>裙长未明确</x:v>
      </x:c>
      <x:c r="F335" s="9" t="str">
        <x:v>裙装</x:v>
      </x:c>
      <x:c r="G335" s="9" t="str">
        <x:v>半身裙</x:v>
      </x:c>
      <x:c r="H335" s="9" t="str">
        <x:v>女</x:v>
      </x:c>
      <x:c r="I335" s="9" t="str">
        <x:v>雅莹真丝优雅牡丹印花A字半身裙</x:v>
      </x:c>
      <x:c r="J335" s="9" t="str">
        <x:v>EP YAYING/雅莹</x:v>
      </x:c>
      <x:c r="K335" s="24" t="n">
        <x:v>1701.61</x:v>
      </x:c>
      <x:c r="L335" s="25" t="e">
        <x:f>HYPERLINK("https://item.taobao.com/item.htm?id=897284821331","打开商品")</x:f>
        <x:v>HYPERLINK is not implemented. linkLocation=https://item.taobao.com/item.htm?id=897284821331, friendlyName=打开商品</x:v>
      </x:c>
      <x:c r="M335" s="25" t="e">
        <x:f>HYPERLINK("https://data.zhiyitech.cn/itemDetail/overview/base?itemId=897284821331","打开知衣")</x:f>
        <x:v>HYPERLINK is not implemented. linkLocation=https://data.zhiyitech.cn/itemDetail/overview/base?itemId=897284821331, friendlyName=打开知衣</x:v>
      </x:c>
      <x:c r="N335" s="25" t="e">
        <x:f>HYPERLINK("https://img.alicdn.com/bao/uploaded/i3/378537552/O1CN01WlrWqV25es8ZUfhHS_!!4611686018427381328-0-item_pic.jpg","查看主图")</x:f>
        <x:v>HYPERLINK is not implemented. linkLocation=https://img.alicdn.com/bao/uploaded/i3/378537552/O1CN01WlrWqV25es8ZUfhHS_!!4611686018427381328-0-item_pic.jpg, friendlyName=查看主图</x:v>
      </x:c>
      <x:c r="O335" s="9" t="str">
        <x:v>标题及既有类目语义复核；雅莹真丝优雅牡丹印花A字半身裙；原类目及标题已能确认半身裙；展示使用已知大类，未知裙长下沉到结构字段，不强猜长短。</x:v>
      </x:c>
      <x:c r="P335" s="9" t="str">
        <x:v>普通男女装</x:v>
      </x:c>
      <x:c r="Q335" s="9" t="str">
        <x:v>W_SKIRTS_AVGPAID_1700_1800_ANNUAL2026.xlsx</x:v>
      </x:c>
      <x:c r="R335" s="9" t="str">
        <x:v>默认</x:v>
      </x:c>
      <x:c r="S335" s="9" t="n">
        <x:v>451</x:v>
      </x:c>
      <x:c r="T335" s="9" t="str">
        <x:v>c25ed77c53c7c5cfcf728778a0e9b297d8689503f62756a939cbd534ca9b587a</x:v>
      </x:c>
      <x:c r="U335" s="9" t="str">
        <x:v>W_SKIRTS_AVGPAID_1700_1800_ANNUAL2026</x:v>
      </x:c>
      <x:c r="V335" s="9" t="str">
        <x:v>W_SKIRTS_AVGPAID_1700_1800_ANNUAL2026.xlsx / 默认 / 第451行 / SHA256 c25ed77c53c7c5cfcf728778a0e9b297d8689503f62756a939cbd534ca9b587a</x:v>
      </x:c>
    </x:row>
    <x:row r="336" ht="58" customHeight="1">
      <x:c r="A336" s="23" t="str">
        <x:v>946795589981</x:v>
      </x:c>
      <x:c r="B336" s="22"/>
      <x:c r="C336" s="22"/>
      <x:c r="D336" s="22"/>
      <x:c r="E336" s="9" t="str">
        <x:v>裙长未明确</x:v>
      </x:c>
      <x:c r="F336" s="9" t="str">
        <x:v>裙装</x:v>
      </x:c>
      <x:c r="G336" s="9" t="str">
        <x:v>半身裙</x:v>
      </x:c>
      <x:c r="H336" s="9" t="str">
        <x:v>女</x:v>
      </x:c>
      <x:c r="I336" s="9" t="str">
        <x:v>EP雅莹筒裙 优雅压褶肌理直筒半身裙黑色包臀裙 商场同款3509A</x:v>
      </x:c>
      <x:c r="J336" s="9" t="str">
        <x:v>EP YAYING/雅莹</x:v>
      </x:c>
      <x:c r="K336" s="24" t="n">
        <x:v>1355.42</x:v>
      </x:c>
      <x:c r="L336" s="25" t="e">
        <x:f>HYPERLINK("https://item.taobao.com/item.htm?id=946795589981","打开商品")</x:f>
        <x:v>HYPERLINK is not implemented. linkLocation=https://item.taobao.com/item.htm?id=946795589981, friendlyName=打开商品</x:v>
      </x:c>
      <x:c r="M336" s="25" t="e">
        <x:f>HYPERLINK("https://data.zhiyitech.cn/itemDetail/overview/base?itemId=946795589981","打开知衣")</x:f>
        <x:v>HYPERLINK is not implemented. linkLocation=https://data.zhiyitech.cn/itemDetail/overview/base?itemId=946795589981, friendlyName=打开知衣</x:v>
      </x:c>
      <x:c r="N336" s="25" t="e">
        <x:f>HYPERLINK("https://img.alicdn.com/bao/uploaded/i2/378537552/O1CN01BUNnIW25esAYoZMt9_!!4611686018427381328-0-item_pic.jpg","查看主图")</x:f>
        <x:v>HYPERLINK is not implemented. linkLocation=https://img.alicdn.com/bao/uploaded/i2/378537552/O1CN01BUNnIW25esAYoZMt9_!!4611686018427381328-0-item_pic.jpg, friendlyName=查看主图</x:v>
      </x:c>
      <x:c r="O336" s="9" t="str">
        <x:v>标题及既有类目语义复核；EP雅莹筒裙 优雅压褶肌理直筒半身裙黑色包臀裙 商场同款3509A；原类目及标题已能确认半身裙；展示使用已知大类，未知裙长下沉到结构字段，不强猜长短。</x:v>
      </x:c>
      <x:c r="P336" s="9" t="str">
        <x:v>普通男女装</x:v>
      </x:c>
      <x:c r="Q336" s="9" t="str">
        <x:v>W_SKIRTS_AVGPAID_1300_1400_ANNUAL2026.xlsx</x:v>
      </x:c>
      <x:c r="R336" s="9" t="str">
        <x:v>默认</x:v>
      </x:c>
      <x:c r="S336" s="9" t="n">
        <x:v>370</x:v>
      </x:c>
      <x:c r="T336" s="9" t="str">
        <x:v>bd4dae1e08e9eca7ddd0669235bf59107cdc418b9c2898fc16f36a7ab5748692</x:v>
      </x:c>
      <x:c r="U336" s="9" t="str">
        <x:v>W_SKIRTS_AVGPAID_1300_1400_ANNUAL2026</x:v>
      </x:c>
      <x:c r="V336" s="9" t="str">
        <x:v>W_SKIRTS_AVGPAID_1300_1400_ANNUAL2026.xlsx / 默认 / 第370行 / SHA256 bd4dae1e08e9eca7ddd0669235bf59107cdc418b9c2898fc16f36a7ab5748692</x:v>
      </x:c>
    </x:row>
    <x:row r="337" ht="58" customHeight="1">
      <x:c r="A337" s="23" t="str">
        <x:v>972167394310</x:v>
      </x:c>
      <x:c r="B337" s="22"/>
      <x:c r="C337" s="22"/>
      <x:c r="D337" s="22"/>
      <x:c r="E337" s="9" t="str">
        <x:v>裙长未明确</x:v>
      </x:c>
      <x:c r="F337" s="9" t="str">
        <x:v>裙装</x:v>
      </x:c>
      <x:c r="G337" s="9" t="str">
        <x:v>半身裙</x:v>
      </x:c>
      <x:c r="H337" s="9" t="str">
        <x:v>女</x:v>
      </x:c>
      <x:c r="I337" s="9" t="str">
        <x:v>EP雅莹学院风格纹半身裙</x:v>
      </x:c>
      <x:c r="J337" s="9" t="str">
        <x:v>EP YAYING/雅莹</x:v>
      </x:c>
      <x:c r="K337" s="24" t="n">
        <x:v>1322.32</x:v>
      </x:c>
      <x:c r="L337" s="25" t="e">
        <x:f>HYPERLINK("https://item.taobao.com/item.htm?id=972167394310","打开商品")</x:f>
        <x:v>HYPERLINK is not implemented. linkLocation=https://item.taobao.com/item.htm?id=972167394310, friendlyName=打开商品</x:v>
      </x:c>
      <x:c r="M337" s="25" t="e">
        <x:f>HYPERLINK("https://data.zhiyitech.cn/itemDetail/overview/base?itemId=972167394310","打开知衣")</x:f>
        <x:v>HYPERLINK is not implemented. linkLocation=https://data.zhiyitech.cn/itemDetail/overview/base?itemId=972167394310, friendlyName=打开知衣</x:v>
      </x:c>
      <x:c r="N337" s="25" t="e">
        <x:f>HYPERLINK("https://img.alicdn.com/bao/uploaded/i1/2208192825113/O1CN01AHjmKg1ndoC1rwu08_!!2208192825113.jpg","查看主图")</x:f>
        <x:v>HYPERLINK is not implemented. linkLocation=https://img.alicdn.com/bao/uploaded/i1/2208192825113/O1CN01AHjmKg1ndoC1rwu08_!!2208192825113.jpg, friendlyName=查看主图</x:v>
      </x:c>
      <x:c r="O337" s="9" t="str">
        <x:v>标题及既有类目语义复核；EP雅莹学院风格纹半身裙；原类目及标题已能确认半身裙；展示使用已知大类，未知裙长下沉到结构字段，不强猜长短。</x:v>
      </x:c>
      <x:c r="P337" s="9" t="str">
        <x:v>普通男女装</x:v>
      </x:c>
      <x:c r="Q337" s="9" t="str">
        <x:v>W_SKIRTS_AVGPAID_1300_1400_ANNUAL2026.xlsx</x:v>
      </x:c>
      <x:c r="R337" s="9" t="str">
        <x:v>默认</x:v>
      </x:c>
      <x:c r="S337" s="9" t="n">
        <x:v>465</x:v>
      </x:c>
      <x:c r="T337" s="9" t="str">
        <x:v>bd4dae1e08e9eca7ddd0669235bf59107cdc418b9c2898fc16f36a7ab5748692</x:v>
      </x:c>
      <x:c r="U337" s="9" t="str">
        <x:v>W_SKIRTS_AVGPAID_1300_1400_ANNUAL2026</x:v>
      </x:c>
      <x:c r="V337" s="9" t="str">
        <x:v>W_SKIRTS_AVGPAID_1300_1400_ANNUAL2026.xlsx / 默认 / 第465行 / SHA256 bd4dae1e08e9eca7ddd0669235bf59107cdc418b9c2898fc16f36a7ab5748692</x:v>
      </x:c>
    </x:row>
    <x:row r="338" ht="58" customHeight="1">
      <x:c r="A338" s="23" t="str">
        <x:v>994091677472</x:v>
      </x:c>
      <x:c r="B338" s="22"/>
      <x:c r="C338" s="22"/>
      <x:c r="D338" s="22"/>
      <x:c r="E338" s="9" t="str">
        <x:v>裙长未明确</x:v>
      </x:c>
      <x:c r="F338" s="9" t="str">
        <x:v>裙装</x:v>
      </x:c>
      <x:c r="G338" s="9" t="str">
        <x:v>半身裙</x:v>
      </x:c>
      <x:c r="H338" s="9" t="str">
        <x:v>女</x:v>
      </x:c>
      <x:c r="I338" s="9" t="str">
        <x:v>EP雅莹半身裙 褶艺肌理感裙子遮胯直筒裙2026新款3311A</x:v>
      </x:c>
      <x:c r="J338" s="9" t="str">
        <x:v>EP YAYING/雅莹</x:v>
      </x:c>
      <x:c r="K338" s="24" t="n">
        <x:v>1376.99</x:v>
      </x:c>
      <x:c r="L338" s="25" t="e">
        <x:f>HYPERLINK("https://item.taobao.com/item.htm?id=994091677472","打开商品")</x:f>
        <x:v>HYPERLINK is not implemented. linkLocation=https://item.taobao.com/item.htm?id=994091677472, friendlyName=打开商品</x:v>
      </x:c>
      <x:c r="M338" s="25" t="e">
        <x:f>HYPERLINK("https://data.zhiyitech.cn/itemDetail/overview/base?itemId=994091677472","打开知衣")</x:f>
        <x:v>HYPERLINK is not implemented. linkLocation=https://data.zhiyitech.cn/itemDetail/overview/base?itemId=994091677472, friendlyName=打开知衣</x:v>
      </x:c>
      <x:c r="N338" s="25" t="e">
        <x:f>HYPERLINK("https://img.alicdn.com/bao/uploaded/i4/378537552/O1CN01gpdkE725esC8UodT5_!!4611686018427381328-0-item_pic.jpg","查看主图")</x:f>
        <x:v>HYPERLINK is not implemented. linkLocation=https://img.alicdn.com/bao/uploaded/i4/378537552/O1CN01gpdkE725esC8UodT5_!!4611686018427381328-0-item_pic.jpg, friendlyName=查看主图</x:v>
      </x:c>
      <x:c r="O338" s="9" t="str">
        <x:v>标题及既有类目语义复核；EP雅莹半身裙 褶艺肌理感裙子遮胯直筒裙2026新款3311A；原类目及标题已能确认半身裙；展示使用已知大类，未知裙长下沉到结构字段，不强猜长短。</x:v>
      </x:c>
      <x:c r="P338" s="9" t="str">
        <x:v>普通男女装</x:v>
      </x:c>
      <x:c r="Q338" s="9" t="str">
        <x:v>W_SKIRTS_AVGPAID_1300_1400_ANNUAL2026.xlsx</x:v>
      </x:c>
      <x:c r="R338" s="9" t="str">
        <x:v>默认</x:v>
      </x:c>
      <x:c r="S338" s="9" t="n">
        <x:v>247</x:v>
      </x:c>
      <x:c r="T338" s="9" t="str">
        <x:v>bd4dae1e08e9eca7ddd0669235bf59107cdc418b9c2898fc16f36a7ab5748692</x:v>
      </x:c>
      <x:c r="U338" s="9" t="str">
        <x:v>W_SKIRTS_AVGPAID_1300_1400_ANNUAL2026</x:v>
      </x:c>
      <x:c r="V338" s="9" t="str">
        <x:v>W_SKIRTS_AVGPAID_1300_1400_ANNUAL2026.xlsx / 默认 / 第247行 / SHA256 bd4dae1e08e9eca7ddd0669235bf59107cdc418b9c2898fc16f36a7ab5748692</x:v>
      </x:c>
    </x:row>
    <x:row r="339" ht="58" customHeight="1">
      <x:c r="A339" s="23" t="str">
        <x:v>994091929015</x:v>
      </x:c>
      <x:c r="B339" s="22"/>
      <x:c r="C339" s="22"/>
      <x:c r="D339" s="22"/>
      <x:c r="E339" s="9" t="str">
        <x:v>裙长未明确</x:v>
      </x:c>
      <x:c r="F339" s="9" t="str">
        <x:v>裙装</x:v>
      </x:c>
      <x:c r="G339" s="9" t="str">
        <x:v>半身裙</x:v>
      </x:c>
      <x:c r="H339" s="9" t="str">
        <x:v>女</x:v>
      </x:c>
      <x:c r="I339" s="9" t="str">
        <x:v>EP雅莹半身裙 设计感开叉牛仔直筒裙  2026新款</x:v>
      </x:c>
      <x:c r="J339" s="9" t="str">
        <x:v>EP YAYING/雅莹</x:v>
      </x:c>
      <x:c r="K339" s="24" t="n">
        <x:v>1345.69</x:v>
      </x:c>
      <x:c r="L339" s="25" t="e">
        <x:f>HYPERLINK("https://item.taobao.com/item.htm?id=994091929015","打开商品")</x:f>
        <x:v>HYPERLINK is not implemented. linkLocation=https://item.taobao.com/item.htm?id=994091929015, friendlyName=打开商品</x:v>
      </x:c>
      <x:c r="M339" s="25" t="e">
        <x:f>HYPERLINK("https://data.zhiyitech.cn/itemDetail/overview/base?itemId=994091929015","打开知衣")</x:f>
        <x:v>HYPERLINK is not implemented. linkLocation=https://data.zhiyitech.cn/itemDetail/overview/base?itemId=994091929015, friendlyName=打开知衣</x:v>
      </x:c>
      <x:c r="N339" s="25" t="e">
        <x:f>HYPERLINK("https://img.alicdn.com/bao/uploaded/i1/378537552/O1CN01NNQoXp25esCIwP3Hd_!!4611686018427381328-0-item_pic.jpg","查看主图")</x:f>
        <x:v>HYPERLINK is not implemented. linkLocation=https://img.alicdn.com/bao/uploaded/i1/378537552/O1CN01NNQoXp25esCIwP3Hd_!!4611686018427381328-0-item_pic.jpg, friendlyName=查看主图</x:v>
      </x:c>
      <x:c r="O339" s="9" t="str">
        <x:v>标题及既有类目语义复核；EP雅莹半身裙 设计感开叉牛仔直筒裙  2026新款；原类目及标题已能确认半身裙；展示使用已知大类，未知裙长下沉到结构字段，不强猜长短。</x:v>
      </x:c>
      <x:c r="P339" s="9" t="str">
        <x:v>普通男女装</x:v>
      </x:c>
      <x:c r="Q339" s="9" t="str">
        <x:v>W_SKIRTS_AVGPAID_1300_1400_ANNUAL2026.xlsx</x:v>
      </x:c>
      <x:c r="R339" s="9" t="str">
        <x:v>默认</x:v>
      </x:c>
      <x:c r="S339" s="9" t="n">
        <x:v>72</x:v>
      </x:c>
      <x:c r="T339" s="9" t="str">
        <x:v>bd4dae1e08e9eca7ddd0669235bf59107cdc418b9c2898fc16f36a7ab5748692</x:v>
      </x:c>
      <x:c r="U339" s="9" t="str">
        <x:v>W_SKIRTS_AVGPAID_1300_1400_ANNUAL2026</x:v>
      </x:c>
      <x:c r="V339" s="9" t="str">
        <x:v>W_SKIRTS_AVGPAID_1300_1400_ANNUAL2026.xlsx / 默认 / 第72行 / SHA256 bd4dae1e08e9eca7ddd0669235bf59107cdc418b9c2898fc16f36a7ab5748692</x:v>
      </x:c>
    </x:row>
    <x:row r="340" ht="58" customHeight="1">
      <x:c r="A340" s="23" t="str">
        <x:v>761724043410</x:v>
      </x:c>
      <x:c r="B340" s="22"/>
      <x:c r="C340" s="22"/>
      <x:c r="D340" s="22"/>
      <x:c r="E340" s="9" t="str">
        <x:v>裙长未明确</x:v>
      </x:c>
      <x:c r="F340" s="9" t="str">
        <x:v>裙装</x:v>
      </x:c>
      <x:c r="G340" s="9" t="str">
        <x:v>半身裙</x:v>
      </x:c>
      <x:c r="H340" s="9" t="str">
        <x:v>女</x:v>
      </x:c>
      <x:c r="I340" s="9" t="str">
        <x:v>Erdos纯羊绒虚提半身裙</x:v>
      </x:c>
      <x:c r="J340" s="9" t="str">
        <x:v>ERDOS/鄂尔多斯</x:v>
      </x:c>
      <x:c r="K340" s="24" t="n">
        <x:v>1321.96</x:v>
      </x:c>
      <x:c r="L340" s="25" t="e">
        <x:f>HYPERLINK("https://item.taobao.com/item.htm?id=761724043410","打开商品")</x:f>
        <x:v>HYPERLINK is not implemented. linkLocation=https://item.taobao.com/item.htm?id=761724043410, friendlyName=打开商品</x:v>
      </x:c>
      <x:c r="M340" s="25" t="e">
        <x:f>HYPERLINK("https://data.zhiyitech.cn/itemDetail/overview/base?itemId=761724043410","打开知衣")</x:f>
        <x:v>HYPERLINK is not implemented. linkLocation=https://data.zhiyitech.cn/itemDetail/overview/base?itemId=761724043410, friendlyName=打开知衣</x:v>
      </x:c>
      <x:c r="N340" s="25" t="e">
        <x:f>HYPERLINK("https://img.alicdn.com/bao/uploaded/i1/575083143/O1CN01gtGdJt1Z5XkYQ2Bco_!!0-item_pic.jpg","查看主图")</x:f>
        <x:v>HYPERLINK is not implemented. linkLocation=https://img.alicdn.com/bao/uploaded/i1/575083143/O1CN01gtGdJt1Z5XkYQ2Bco_!!0-item_pic.jpg, friendlyName=查看主图</x:v>
      </x:c>
      <x:c r="O340" s="9" t="str">
        <x:v>标题及既有类目语义复核；Erdos纯羊绒虚提半身裙；原类目及标题已能确认半身裙；展示使用已知大类，未知裙长下沉到结构字段，不强猜长短。</x:v>
      </x:c>
      <x:c r="P340" s="9" t="str">
        <x:v>普通男女装</x:v>
      </x:c>
      <x:c r="Q340" s="9" t="str">
        <x:v>W_SKIRTS_AVGPAID_1300_1400_ANNUAL2026.xlsx</x:v>
      </x:c>
      <x:c r="R340" s="9" t="str">
        <x:v>默认</x:v>
      </x:c>
      <x:c r="S340" s="9" t="n">
        <x:v>303</x:v>
      </x:c>
      <x:c r="T340" s="9" t="str">
        <x:v>bd4dae1e08e9eca7ddd0669235bf59107cdc418b9c2898fc16f36a7ab5748692</x:v>
      </x:c>
      <x:c r="U340" s="9" t="str">
        <x:v>W_SKIRTS_AVGPAID_1300_1400_ANNUAL2026</x:v>
      </x:c>
      <x:c r="V340" s="9" t="str">
        <x:v>W_SKIRTS_AVGPAID_1300_1400_ANNUAL2026.xlsx / 默认 / 第303行 / SHA256 bd4dae1e08e9eca7ddd0669235bf59107cdc418b9c2898fc16f36a7ab5748692</x:v>
      </x:c>
    </x:row>
    <x:row r="341" ht="58" customHeight="1">
      <x:c r="A341" s="23" t="str">
        <x:v>771430202732</x:v>
      </x:c>
      <x:c r="B341" s="22"/>
      <x:c r="C341" s="22"/>
      <x:c r="D341" s="22"/>
      <x:c r="E341" s="9" t="str">
        <x:v>裙长未明确</x:v>
      </x:c>
      <x:c r="F341" s="9" t="str">
        <x:v>裙装</x:v>
      </x:c>
      <x:c r="G341" s="9" t="str">
        <x:v>半身裙</x:v>
      </x:c>
      <x:c r="H341" s="9" t="str">
        <x:v>女</x:v>
      </x:c>
      <x:c r="I341" s="9" t="str">
        <x:v>ERDOS复古印花A字伞裙</x:v>
      </x:c>
      <x:c r="J341" s="9" t="str">
        <x:v>ERDOS/鄂尔多斯</x:v>
      </x:c>
      <x:c r="K341" s="24" t="n">
        <x:v>1385.77</x:v>
      </x:c>
      <x:c r="L341" s="25" t="e">
        <x:f>HYPERLINK("https://item.taobao.com/item.htm?id=771430202732","打开商品")</x:f>
        <x:v>HYPERLINK is not implemented. linkLocation=https://item.taobao.com/item.htm?id=771430202732, friendlyName=打开商品</x:v>
      </x:c>
      <x:c r="M341" s="25" t="e">
        <x:f>HYPERLINK("https://data.zhiyitech.cn/itemDetail/overview/base?itemId=771430202732","打开知衣")</x:f>
        <x:v>HYPERLINK is not implemented. linkLocation=https://data.zhiyitech.cn/itemDetail/overview/base?itemId=771430202732, friendlyName=打开知衣</x:v>
      </x:c>
      <x:c r="N341" s="25" t="e">
        <x:f>HYPERLINK("https://img.alicdn.com/bao/uploaded/i2/575083143/O1CN01Hlzdqn1Z5XlV5zchb_!!0-item_pic.jpg","查看主图")</x:f>
        <x:v>HYPERLINK is not implemented. linkLocation=https://img.alicdn.com/bao/uploaded/i2/575083143/O1CN01Hlzdqn1Z5XlV5zchb_!!0-item_pic.jpg, friendlyName=查看主图</x:v>
      </x:c>
      <x:c r="O341" s="9" t="str">
        <x:v>标题及既有类目语义复核；ERDOS复古印花A字伞裙；原类目及标题已能确认半身裙；展示使用已知大类，未知裙长下沉到结构字段，不强猜长短。</x:v>
      </x:c>
      <x:c r="P341" s="9" t="str">
        <x:v>普通男女装</x:v>
      </x:c>
      <x:c r="Q341" s="9" t="str">
        <x:v>W_SKIRTS_AVGPAID_1300_1400_ANNUAL2026.xlsx</x:v>
      </x:c>
      <x:c r="R341" s="9" t="str">
        <x:v>默认</x:v>
      </x:c>
      <x:c r="S341" s="9" t="n">
        <x:v>416</x:v>
      </x:c>
      <x:c r="T341" s="9" t="str">
        <x:v>bd4dae1e08e9eca7ddd0669235bf59107cdc418b9c2898fc16f36a7ab5748692</x:v>
      </x:c>
      <x:c r="U341" s="9" t="str">
        <x:v>W_SKIRTS_AVGPAID_1300_1400_ANNUAL2026</x:v>
      </x:c>
      <x:c r="V341" s="9" t="str">
        <x:v>W_SKIRTS_AVGPAID_1300_1400_ANNUAL2026.xlsx / 默认 / 第416行 / SHA256 bd4dae1e08e9eca7ddd0669235bf59107cdc418b9c2898fc16f36a7ab5748692</x:v>
      </x:c>
    </x:row>
    <x:row r="342" ht="58" customHeight="1">
      <x:c r="A342" s="23" t="str">
        <x:v>886811659823</x:v>
      </x:c>
      <x:c r="B342" s="22"/>
      <x:c r="C342" s="22"/>
      <x:c r="D342" s="22"/>
      <x:c r="E342" s="9" t="str">
        <x:v>裙长未明确</x:v>
      </x:c>
      <x:c r="F342" s="9" t="str">
        <x:v>裙装</x:v>
      </x:c>
      <x:c r="G342" s="9" t="str">
        <x:v>半身裙</x:v>
      </x:c>
      <x:c r="H342" s="9" t="str">
        <x:v>女</x:v>
      </x:c>
      <x:c r="I342" s="9" t="str">
        <x:v>ERDOS liberty印花优雅A字半身裙</x:v>
      </x:c>
      <x:c r="J342" s="9" t="str">
        <x:v>ERDOS/鄂尔多斯</x:v>
      </x:c>
      <x:c r="K342" s="24" t="n">
        <x:v>1734.17</x:v>
      </x:c>
      <x:c r="L342" s="25" t="e">
        <x:f>HYPERLINK("https://item.taobao.com/item.htm?id=886811659823","打开商品")</x:f>
        <x:v>HYPERLINK is not implemented. linkLocation=https://item.taobao.com/item.htm?id=886811659823, friendlyName=打开商品</x:v>
      </x:c>
      <x:c r="M342" s="25" t="e">
        <x:f>HYPERLINK("https://data.zhiyitech.cn/itemDetail/overview/base?itemId=886811659823","打开知衣")</x:f>
        <x:v>HYPERLINK is not implemented. linkLocation=https://data.zhiyitech.cn/itemDetail/overview/base?itemId=886811659823, friendlyName=打开知衣</x:v>
      </x:c>
      <x:c r="N342" s="25" t="e">
        <x:f>HYPERLINK("https://img.alicdn.com/bao/uploaded/i4/2204127830214/O1CN01WVdJsL9b48B2vH2e_!!2204127830214.jpg","查看主图")</x:f>
        <x:v>HYPERLINK is not implemented. linkLocation=https://img.alicdn.com/bao/uploaded/i4/2204127830214/O1CN01WVdJsL9b48B2vH2e_!!2204127830214.jpg, friendlyName=查看主图</x:v>
      </x:c>
      <x:c r="O342" s="9" t="str">
        <x:v>标题及既有类目语义复核；ERDOS liberty印花优雅A字半身裙；原类目及标题已能确认半身裙；展示使用已知大类，未知裙长下沉到结构字段，不强猜长短。</x:v>
      </x:c>
      <x:c r="P342" s="9" t="str">
        <x:v>普通男女装</x:v>
      </x:c>
      <x:c r="Q342" s="9" t="str">
        <x:v>W_SKIRTS_AVGPAID_1700_1800_ANNUAL2026.xlsx</x:v>
      </x:c>
      <x:c r="R342" s="9" t="str">
        <x:v>默认</x:v>
      </x:c>
      <x:c r="S342" s="9" t="n">
        <x:v>372</x:v>
      </x:c>
      <x:c r="T342" s="9" t="str">
        <x:v>c25ed77c53c7c5cfcf728778a0e9b297d8689503f62756a939cbd534ca9b587a</x:v>
      </x:c>
      <x:c r="U342" s="9" t="str">
        <x:v>W_SKIRTS_AVGPAID_1700_1800_ANNUAL2026</x:v>
      </x:c>
      <x:c r="V342" s="9" t="str">
        <x:v>W_SKIRTS_AVGPAID_1700_1800_ANNUAL2026.xlsx / 默认 / 第372行 / SHA256 c25ed77c53c7c5cfcf728778a0e9b297d8689503f62756a939cbd534ca9b587a</x:v>
      </x:c>
    </x:row>
    <x:row r="343" ht="58" customHeight="1">
      <x:c r="A343" s="23" t="str">
        <x:v>889825830372</x:v>
      </x:c>
      <x:c r="B343" s="22"/>
      <x:c r="C343" s="22"/>
      <x:c r="D343" s="22"/>
      <x:c r="E343" s="9" t="str">
        <x:v>裙长未明确</x:v>
      </x:c>
      <x:c r="F343" s="9" t="str">
        <x:v>裙装</x:v>
      </x:c>
      <x:c r="G343" s="9" t="str">
        <x:v>半身裙</x:v>
      </x:c>
      <x:c r="H343" s="9" t="str">
        <x:v>女</x:v>
      </x:c>
      <x:c r="I343" s="9" t="str">
        <x:v>ERDOS 桑蚕丝趣味草莓图案半身裙女春夏抽褶设计直筒裙</x:v>
      </x:c>
      <x:c r="J343" s="9" t="str">
        <x:v>ERDOS/鄂尔多斯</x:v>
      </x:c>
      <x:c r="K343" s="24" t="n">
        <x:v>1322.51</x:v>
      </x:c>
      <x:c r="L343" s="25" t="e">
        <x:f>HYPERLINK("https://item.taobao.com/item.htm?id=889825830372","打开商品")</x:f>
        <x:v>HYPERLINK is not implemented. linkLocation=https://item.taobao.com/item.htm?id=889825830372, friendlyName=打开商品</x:v>
      </x:c>
      <x:c r="M343" s="25" t="e">
        <x:f>HYPERLINK("https://data.zhiyitech.cn/itemDetail/overview/base?itemId=889825830372","打开知衣")</x:f>
        <x:v>HYPERLINK is not implemented. linkLocation=https://data.zhiyitech.cn/itemDetail/overview/base?itemId=889825830372, friendlyName=打开知衣</x:v>
      </x:c>
      <x:c r="N343" s="25" t="e">
        <x:f>HYPERLINK("https://img.alicdn.com/bao/uploaded/i1/575083143/O1CN01t3Y5PW1Z5Xrw7E7NZ_!!4611686018427384455-0-item_pic.jpg","查看主图")</x:f>
        <x:v>HYPERLINK is not implemented. linkLocation=https://img.alicdn.com/bao/uploaded/i1/575083143/O1CN01t3Y5PW1Z5Xrw7E7NZ_!!4611686018427384455-0-item_pic.jpg, friendlyName=查看主图</x:v>
      </x:c>
      <x:c r="O343" s="9" t="str">
        <x:v>标题及既有类目语义复核；ERDOS 桑蚕丝趣味草莓图案半身裙女春夏抽褶设计直筒裙；原类目及标题已能确认半身裙；展示使用已知大类，未知裙长下沉到结构字段，不强猜长短。</x:v>
      </x:c>
      <x:c r="P343" s="9" t="str">
        <x:v>普通男女装</x:v>
      </x:c>
      <x:c r="Q343" s="9" t="str">
        <x:v>W_SKIRTS_AVGPAID_1300_1400_ANNUAL2026.xlsx</x:v>
      </x:c>
      <x:c r="R343" s="9" t="str">
        <x:v>默认</x:v>
      </x:c>
      <x:c r="S343" s="9" t="n">
        <x:v>333</x:v>
      </x:c>
      <x:c r="T343" s="9" t="str">
        <x:v>bd4dae1e08e9eca7ddd0669235bf59107cdc418b9c2898fc16f36a7ab5748692</x:v>
      </x:c>
      <x:c r="U343" s="9" t="str">
        <x:v>W_SKIRTS_AVGPAID_1300_1400_ANNUAL2026</x:v>
      </x:c>
      <x:c r="V343" s="9" t="str">
        <x:v>W_SKIRTS_AVGPAID_1300_1400_ANNUAL2026.xlsx / 默认 / 第333行 / SHA256 bd4dae1e08e9eca7ddd0669235bf59107cdc418b9c2898fc16f36a7ab5748692</x:v>
      </x:c>
    </x:row>
    <x:row r="344" ht="58" customHeight="1">
      <x:c r="A344" s="23" t="str">
        <x:v>902459346475</x:v>
      </x:c>
      <x:c r="B344" s="22"/>
      <x:c r="C344" s="22"/>
      <x:c r="D344" s="22"/>
      <x:c r="E344" s="9" t="str">
        <x:v>裙长未明确</x:v>
      </x:c>
      <x:c r="F344" s="9" t="str">
        <x:v>裙装</x:v>
      </x:c>
      <x:c r="G344" s="9" t="str">
        <x:v>半身裙</x:v>
      </x:c>
      <x:c r="H344" s="9" t="str">
        <x:v>女</x:v>
      </x:c>
      <x:c r="I344" s="9" t="str">
        <x:v>【秀场同款】ERDOS 雨露麻紫色松紧腰半身裙女夏淡人穿搭</x:v>
      </x:c>
      <x:c r="J344" s="9" t="str">
        <x:v>ERDOS/鄂尔多斯</x:v>
      </x:c>
      <x:c r="K344" s="24" t="n">
        <x:v>1364.47</x:v>
      </x:c>
      <x:c r="L344" s="25" t="e">
        <x:f>HYPERLINK("https://item.taobao.com/item.htm?id=902459346475","打开商品")</x:f>
        <x:v>HYPERLINK is not implemented. linkLocation=https://item.taobao.com/item.htm?id=902459346475, friendlyName=打开商品</x:v>
      </x:c>
      <x:c r="M344" s="25" t="e">
        <x:f>HYPERLINK("https://data.zhiyitech.cn/itemDetail/overview/base?itemId=902459346475","打开知衣")</x:f>
        <x:v>HYPERLINK is not implemented. linkLocation=https://data.zhiyitech.cn/itemDetail/overview/base?itemId=902459346475, friendlyName=打开知衣</x:v>
      </x:c>
      <x:c r="N344" s="25" t="e">
        <x:f>HYPERLINK("https://img.alicdn.com/bao/uploaded/i4/575083143/O1CN01A52fEs1Z5XsW5BfM5_!!4611686018427384455-0-item_pic.jpg","查看主图")</x:f>
        <x:v>HYPERLINK is not implemented. linkLocation=https://img.alicdn.com/bao/uploaded/i4/575083143/O1CN01A52fEs1Z5XsW5BfM5_!!4611686018427384455-0-item_pic.jpg, friendlyName=查看主图</x:v>
      </x:c>
      <x:c r="O344" s="9" t="str">
        <x:v>标题及既有类目语义复核；【秀场同款】ERDOS 雨露麻紫色松紧腰半身裙女夏淡人穿搭；原类目及标题已能确认半身裙；展示使用已知大类，未知裙长下沉到结构字段，不强猜长短。</x:v>
      </x:c>
      <x:c r="P344" s="9" t="str">
        <x:v>普通男女装</x:v>
      </x:c>
      <x:c r="Q344" s="9" t="str">
        <x:v>W_SKIRTS_AVGPAID_1300_1400_ANNUAL2026.xlsx</x:v>
      </x:c>
      <x:c r="R344" s="9" t="str">
        <x:v>默认</x:v>
      </x:c>
      <x:c r="S344" s="9" t="n">
        <x:v>152</x:v>
      </x:c>
      <x:c r="T344" s="9" t="str">
        <x:v>bd4dae1e08e9eca7ddd0669235bf59107cdc418b9c2898fc16f36a7ab5748692</x:v>
      </x:c>
      <x:c r="U344" s="9" t="str">
        <x:v>W_SKIRTS_AVGPAID_1300_1400_ANNUAL2026</x:v>
      </x:c>
      <x:c r="V344" s="9" t="str">
        <x:v>W_SKIRTS_AVGPAID_1300_1400_ANNUAL2026.xlsx / 默认 / 第152行 / SHA256 bd4dae1e08e9eca7ddd0669235bf59107cdc418b9c2898fc16f36a7ab5748692</x:v>
      </x:c>
    </x:row>
    <x:row r="345" ht="58" customHeight="1">
      <x:c r="A345" s="23" t="str">
        <x:v>903521593934</x:v>
      </x:c>
      <x:c r="B345" s="22"/>
      <x:c r="C345" s="22"/>
      <x:c r="D345" s="22"/>
      <x:c r="E345" s="9" t="str">
        <x:v>裙长未明确</x:v>
      </x:c>
      <x:c r="F345" s="9" t="str">
        <x:v>裙装</x:v>
      </x:c>
      <x:c r="G345" s="9" t="str">
        <x:v>半身裙</x:v>
      </x:c>
      <x:c r="H345" s="9" t="str">
        <x:v>女</x:v>
      </x:c>
      <x:c r="I345" s="9" t="str">
        <x:v>ERDOS 藏蓝桑蚕丝棉混纺轻薄半身裙春夏简约通勤裙装</x:v>
      </x:c>
      <x:c r="J345" s="9" t="str">
        <x:v>ERDOS/鄂尔多斯</x:v>
      </x:c>
      <x:c r="K345" s="24" t="n">
        <x:v>1351.99</x:v>
      </x:c>
      <x:c r="L345" s="25" t="e">
        <x:f>HYPERLINK("https://item.taobao.com/item.htm?id=903521593934","打开商品")</x:f>
        <x:v>HYPERLINK is not implemented. linkLocation=https://item.taobao.com/item.htm?id=903521593934, friendlyName=打开商品</x:v>
      </x:c>
      <x:c r="M345" s="25" t="e">
        <x:f>HYPERLINK("https://data.zhiyitech.cn/itemDetail/overview/base?itemId=903521593934","打开知衣")</x:f>
        <x:v>HYPERLINK is not implemented. linkLocation=https://data.zhiyitech.cn/itemDetail/overview/base?itemId=903521593934, friendlyName=打开知衣</x:v>
      </x:c>
      <x:c r="N345" s="25" t="e">
        <x:f>HYPERLINK("https://img.alicdn.com/bao/uploaded/i2/575083143/O1CN01jIeKuS1Z5XsoR4DjL_!!4611686018427384455-0-item_pic.jpg","查看主图")</x:f>
        <x:v>HYPERLINK is not implemented. linkLocation=https://img.alicdn.com/bao/uploaded/i2/575083143/O1CN01jIeKuS1Z5XsoR4DjL_!!4611686018427384455-0-item_pic.jpg, friendlyName=查看主图</x:v>
      </x:c>
      <x:c r="O345" s="9" t="str">
        <x:v>标题及既有类目语义复核；ERDOS 藏蓝桑蚕丝棉混纺轻薄半身裙春夏简约通勤裙装；原类目及标题已能确认半身裙；展示使用已知大类，未知裙长下沉到结构字段，不强猜长短。</x:v>
      </x:c>
      <x:c r="P345" s="9" t="str">
        <x:v>普通男女装</x:v>
      </x:c>
      <x:c r="Q345" s="9" t="str">
        <x:v>W_SKIRTS_AVGPAID_1300_1400_ANNUAL2026.xlsx</x:v>
      </x:c>
      <x:c r="R345" s="9" t="str">
        <x:v>默认</x:v>
      </x:c>
      <x:c r="S345" s="9" t="n">
        <x:v>43</x:v>
      </x:c>
      <x:c r="T345" s="9" t="str">
        <x:v>bd4dae1e08e9eca7ddd0669235bf59107cdc418b9c2898fc16f36a7ab5748692</x:v>
      </x:c>
      <x:c r="U345" s="9" t="str">
        <x:v>W_SKIRTS_AVGPAID_1300_1400_ANNUAL2026</x:v>
      </x:c>
      <x:c r="V345" s="9" t="str">
        <x:v>W_SKIRTS_AVGPAID_1300_1400_ANNUAL2026.xlsx / 默认 / 第43行 / SHA256 bd4dae1e08e9eca7ddd0669235bf59107cdc418b9c2898fc16f36a7ab5748692</x:v>
      </x:c>
    </x:row>
    <x:row r="346" ht="58" customHeight="1">
      <x:c r="A346" s="23" t="str">
        <x:v>905443483011</x:v>
      </x:c>
      <x:c r="B346" s="22"/>
      <x:c r="C346" s="22"/>
      <x:c r="D346" s="22"/>
      <x:c r="E346" s="9" t="str">
        <x:v>裙长未明确</x:v>
      </x:c>
      <x:c r="F346" s="9" t="str">
        <x:v>裙装</x:v>
      </x:c>
      <x:c r="G346" s="9" t="str">
        <x:v>半身裙</x:v>
      </x:c>
      <x:c r="H346" s="9" t="str">
        <x:v>女</x:v>
      </x:c>
      <x:c r="I346" s="9" t="str">
        <x:v>【明星同款】ERDOS 苎麻混纺高腰褶皱肌理半身裙女春夏</x:v>
      </x:c>
      <x:c r="J346" s="9" t="str">
        <x:v>ERDOS/鄂尔多斯</x:v>
      </x:c>
      <x:c r="K346" s="24" t="n">
        <x:v>1596.02</x:v>
      </x:c>
      <x:c r="L346" s="25" t="e">
        <x:f>HYPERLINK("https://item.taobao.com/item.htm?id=905443483011","打开商品")</x:f>
        <x:v>HYPERLINK is not implemented. linkLocation=https://item.taobao.com/item.htm?id=905443483011, friendlyName=打开商品</x:v>
      </x:c>
      <x:c r="M346" s="25" t="e">
        <x:f>HYPERLINK("https://data.zhiyitech.cn/itemDetail/overview/base?itemId=905443483011","打开知衣")</x:f>
        <x:v>HYPERLINK is not implemented. linkLocation=https://data.zhiyitech.cn/itemDetail/overview/base?itemId=905443483011, friendlyName=打开知衣</x:v>
      </x:c>
      <x:c r="N346" s="25" t="e">
        <x:f>HYPERLINK("https://img.alicdn.com/bao/uploaded/i4/575083143/O1CN01zSBEPU1Z5Xsf2B0MG_!!4611686018427384455-0-item_pic.jpg","查看主图")</x:f>
        <x:v>HYPERLINK is not implemented. linkLocation=https://img.alicdn.com/bao/uploaded/i4/575083143/O1CN01zSBEPU1Z5Xsf2B0MG_!!4611686018427384455-0-item_pic.jpg, friendlyName=查看主图</x:v>
      </x:c>
      <x:c r="O346" s="9" t="str">
        <x:v>标题及既有类目语义复核；【明星同款】ERDOS 苎麻混纺高腰褶皱肌理半身裙女春夏；原类目及标题已能确认半身裙；展示使用已知大类，未知裙长下沉到结构字段，不强猜长短。</x:v>
      </x:c>
      <x:c r="P346" s="9" t="str">
        <x:v>普通男女装</x:v>
      </x:c>
      <x:c r="Q346" s="9" t="str">
        <x:v>W_SKIRTS_AVGPAID_1500_1600_ANNUAL2026.xlsx</x:v>
      </x:c>
      <x:c r="R346" s="9" t="str">
        <x:v>默认</x:v>
      </x:c>
      <x:c r="S346" s="9" t="n">
        <x:v>340</x:v>
      </x:c>
      <x:c r="T346" s="9" t="str">
        <x:v>deede8b56943df4f914be45dba170f12e69064023d6ef0e88dbde1764f6ba23e</x:v>
      </x:c>
      <x:c r="U346" s="9" t="str">
        <x:v>W_SKIRTS_AVGPAID_1500_1600_ANNUAL2026</x:v>
      </x:c>
      <x:c r="V346" s="9" t="str">
        <x:v>W_SKIRTS_AVGPAID_1500_1600_ANNUAL2026.xlsx / 默认 / 第340行 / SHA256 deede8b56943df4f914be45dba170f12e69064023d6ef0e88dbde1764f6ba23e</x:v>
      </x:c>
    </x:row>
    <x:row r="347" ht="58" customHeight="1">
      <x:c r="A347" s="23" t="str">
        <x:v>969298848683</x:v>
      </x:c>
      <x:c r="B347" s="22"/>
      <x:c r="C347" s="22"/>
      <x:c r="D347" s="22"/>
      <x:c r="E347" s="9" t="str">
        <x:v>裙长未明确</x:v>
      </x:c>
      <x:c r="F347" s="9" t="str">
        <x:v>裙装</x:v>
      </x:c>
      <x:c r="G347" s="9" t="str">
        <x:v>半身裙</x:v>
      </x:c>
      <x:c r="H347" s="9" t="str">
        <x:v>女</x:v>
      </x:c>
      <x:c r="I347" s="9" t="str">
        <x:v>鄂尔多斯1980 女装羊绒半裙秋冬四平工艺加厚款裙装</x:v>
      </x:c>
      <x:c r="J347" s="9" t="str">
        <x:v>ERDOS/鄂尔多斯</x:v>
      </x:c>
      <x:c r="K347" s="24" t="n">
        <x:v>1726.12</x:v>
      </x:c>
      <x:c r="L347" s="25" t="e">
        <x:f>HYPERLINK("https://item.taobao.com/item.htm?id=969298848683","打开商品")</x:f>
        <x:v>HYPERLINK is not implemented. linkLocation=https://item.taobao.com/item.htm?id=969298848683, friendlyName=打开商品</x:v>
      </x:c>
      <x:c r="M347" s="25" t="e">
        <x:f>HYPERLINK("https://data.zhiyitech.cn/itemDetail/overview/base?itemId=969298848683","打开知衣")</x:f>
        <x:v>HYPERLINK is not implemented. linkLocation=https://data.zhiyitech.cn/itemDetail/overview/base?itemId=969298848683, friendlyName=打开知衣</x:v>
      </x:c>
      <x:c r="N347" s="25" t="e">
        <x:f>HYPERLINK("https://img.alicdn.com/bao/uploaded/i4/575083143/O1CN01Tnb2h51Z5XwMLAvRp_!!4611686018427384455-0-item_pic.jpg","查看主图")</x:f>
        <x:v>HYPERLINK is not implemented. linkLocation=https://img.alicdn.com/bao/uploaded/i4/575083143/O1CN01Tnb2h51Z5XwMLAvRp_!!4611686018427384455-0-item_pic.jpg, friendlyName=查看主图</x:v>
      </x:c>
      <x:c r="O347" s="9" t="str">
        <x:v>标题及既有类目语义复核；鄂尔多斯1980 女装羊绒半裙秋冬四平工艺加厚款裙装；原类目及标题已能确认半身裙；展示使用已知大类，未知裙长下沉到结构字段，不强猜长短。</x:v>
      </x:c>
      <x:c r="P347" s="9" t="str">
        <x:v>普通男女装</x:v>
      </x:c>
      <x:c r="Q347" s="9" t="str">
        <x:v>W_SKIRTS_AVGPAID_1700_1800_ANNUAL2026.xlsx</x:v>
      </x:c>
      <x:c r="R347" s="9" t="str">
        <x:v>默认</x:v>
      </x:c>
      <x:c r="S347" s="9" t="n">
        <x:v>116</x:v>
      </x:c>
      <x:c r="T347" s="9" t="str">
        <x:v>c25ed77c53c7c5cfcf728778a0e9b297d8689503f62756a939cbd534ca9b587a</x:v>
      </x:c>
      <x:c r="U347" s="9" t="str">
        <x:v>W_SKIRTS_AVGPAID_1700_1800_ANNUAL2026</x:v>
      </x:c>
      <x:c r="V347" s="9" t="str">
        <x:v>W_SKIRTS_AVGPAID_1700_1800_ANNUAL2026.xlsx / 默认 / 第116行 / SHA256 c25ed77c53c7c5cfcf728778a0e9b297d8689503f62756a939cbd534ca9b587a</x:v>
      </x:c>
    </x:row>
    <x:row r="348" ht="58" customHeight="1">
      <x:c r="A348" s="23" t="str">
        <x:v>1020104609071</x:v>
      </x:c>
      <x:c r="B348" s="22"/>
      <x:c r="C348" s="22"/>
      <x:c r="D348" s="22"/>
      <x:c r="E348" s="9" t="str">
        <x:v>裙长未明确</x:v>
      </x:c>
      <x:c r="F348" s="9" t="str">
        <x:v>裙装</x:v>
      </x:c>
      <x:c r="G348" s="9" t="str">
        <x:v>半身裙</x:v>
      </x:c>
      <x:c r="H348" s="9" t="str">
        <x:v>女</x:v>
      </x:c>
      <x:c r="I348" s="9" t="str">
        <x:v>例外春季女绣花半身裙宽松女装</x:v>
      </x:c>
      <x:c r="J348" s="9" t="str">
        <x:v>EXCEPTION/例外</x:v>
      </x:c>
      <x:c r="K348" s="24" t="n">
        <x:v>1715.54</x:v>
      </x:c>
      <x:c r="L348" s="25" t="e">
        <x:f>HYPERLINK("https://item.taobao.com/item.htm?id=1020104609071","打开商品")</x:f>
        <x:v>HYPERLINK is not implemented. linkLocation=https://item.taobao.com/item.htm?id=1020104609071, friendlyName=打开商品</x:v>
      </x:c>
      <x:c r="M348" s="25" t="e">
        <x:f>HYPERLINK("https://data.zhiyitech.cn/itemDetail/overview/base?itemId=1020104609071","打开知衣")</x:f>
        <x:v>HYPERLINK is not implemented. linkLocation=https://data.zhiyitech.cn/itemDetail/overview/base?itemId=1020104609071, friendlyName=打开知衣</x:v>
      </x:c>
      <x:c r="N348" s="25" t="e">
        <x:f>HYPERLINK("https://img.alicdn.com/bao/uploaded/i1/3626417285/O1CN01rHzzuYp44jJ2vH2e_!!3626417285.jpg","查看主图")</x:f>
        <x:v>HYPERLINK is not implemented. linkLocation=https://img.alicdn.com/bao/uploaded/i1/3626417285/O1CN01rHzzuYp44jJ2vH2e_!!3626417285.jpg, friendlyName=查看主图</x:v>
      </x:c>
      <x:c r="O348" s="9" t="str">
        <x:v>标题及既有类目语义复核；例外春季女绣花半身裙宽松女装；原类目及标题已能确认半身裙；展示使用已知大类，未知裙长下沉到结构字段，不强猜长短。</x:v>
      </x:c>
      <x:c r="P348" s="9" t="str">
        <x:v>普通男女装</x:v>
      </x:c>
      <x:c r="Q348" s="9" t="str">
        <x:v>W_SKIRTS_AVGPAID_1700_1800_ANNUAL2026.xlsx</x:v>
      </x:c>
      <x:c r="R348" s="9" t="str">
        <x:v>默认</x:v>
      </x:c>
      <x:c r="S348" s="9" t="n">
        <x:v>202</x:v>
      </x:c>
      <x:c r="T348" s="9" t="str">
        <x:v>c25ed77c53c7c5cfcf728778a0e9b297d8689503f62756a939cbd534ca9b587a</x:v>
      </x:c>
      <x:c r="U348" s="9" t="str">
        <x:v>W_SKIRTS_AVGPAID_1700_1800_ANNUAL2026</x:v>
      </x:c>
      <x:c r="V348" s="9" t="str">
        <x:v>W_SKIRTS_AVGPAID_1700_1800_ANNUAL2026.xlsx / 默认 / 第202行 / SHA256 c25ed77c53c7c5cfcf728778a0e9b297d8689503f62756a939cbd534ca9b587a</x:v>
      </x:c>
    </x:row>
    <x:row r="349" ht="58" customHeight="1">
      <x:c r="A349" s="23" t="str">
        <x:v>741228859752</x:v>
      </x:c>
      <x:c r="B349" s="22"/>
      <x:c r="C349" s="22"/>
      <x:c r="D349" s="22"/>
      <x:c r="E349" s="9" t="str">
        <x:v>裙长未明确</x:v>
      </x:c>
      <x:c r="F349" s="9" t="str">
        <x:v>裙装</x:v>
      </x:c>
      <x:c r="G349" s="9" t="str">
        <x:v>半身裙</x:v>
      </x:c>
      <x:c r="H349" s="9" t="str">
        <x:v>女</x:v>
      </x:c>
      <x:c r="I349" s="9" t="str">
        <x:v>新中式丨EXCEPTION例外桑蚕丝半身裙松紧带抽褶不规则大A摆伞裙</x:v>
      </x:c>
      <x:c r="J349" s="9" t="str">
        <x:v>EXCEPTION/例外</x:v>
      </x:c>
      <x:c r="K349" s="24" t="n">
        <x:v>1784.79</x:v>
      </x:c>
      <x:c r="L349" s="25" t="e">
        <x:f>HYPERLINK("https://item.taobao.com/item.htm?id=741228859752","打开商品")</x:f>
        <x:v>HYPERLINK is not implemented. linkLocation=https://item.taobao.com/item.htm?id=741228859752, friendlyName=打开商品</x:v>
      </x:c>
      <x:c r="M349" s="25" t="e">
        <x:f>HYPERLINK("https://data.zhiyitech.cn/itemDetail/overview/base?itemId=741228859752","打开知衣")</x:f>
        <x:v>HYPERLINK is not implemented. linkLocation=https://data.zhiyitech.cn/itemDetail/overview/base?itemId=741228859752, friendlyName=打开知衣</x:v>
      </x:c>
      <x:c r="N349" s="25" t="e">
        <x:f>HYPERLINK("https://img.alicdn.com/bao/uploaded/i4/3626417285/O1CN01NIw0BGhY1bL2b8G8_!!3626417285.jpg","查看主图")</x:f>
        <x:v>HYPERLINK is not implemented. linkLocation=https://img.alicdn.com/bao/uploaded/i4/3626417285/O1CN01NIw0BGhY1bL2b8G8_!!3626417285.jpg, friendlyName=查看主图</x:v>
      </x:c>
      <x:c r="O349" s="9" t="str">
        <x:v>标题及既有类目语义复核；新中式丨EXCEPTION例外桑蚕丝半身裙松紧带抽褶不规则大A摆伞裙；原类目及标题已能确认半身裙；展示使用已知大类，未知裙长下沉到结构字段，不强猜长短。</x:v>
      </x:c>
      <x:c r="P349" s="9" t="str">
        <x:v>普通男女装</x:v>
      </x:c>
      <x:c r="Q349" s="9" t="str">
        <x:v>W_SKIRTS_AVGPAID_1700_1800_ANNUAL2026.xlsx</x:v>
      </x:c>
      <x:c r="R349" s="9" t="str">
        <x:v>默认</x:v>
      </x:c>
      <x:c r="S349" s="9" t="n">
        <x:v>308</x:v>
      </x:c>
      <x:c r="T349" s="9" t="str">
        <x:v>c25ed77c53c7c5cfcf728778a0e9b297d8689503f62756a939cbd534ca9b587a</x:v>
      </x:c>
      <x:c r="U349" s="9" t="str">
        <x:v>W_SKIRTS_AVGPAID_1700_1800_ANNUAL2026</x:v>
      </x:c>
      <x:c r="V349" s="9" t="str">
        <x:v>W_SKIRTS_AVGPAID_1700_1800_ANNUAL2026.xlsx / 默认 / 第308行 / SHA256 c25ed77c53c7c5cfcf728778a0e9b297d8689503f62756a939cbd534ca9b587a</x:v>
      </x:c>
    </x:row>
    <x:row r="350" ht="58" customHeight="1">
      <x:c r="A350" s="23" t="str">
        <x:v>1002929196532</x:v>
      </x:c>
      <x:c r="B350" s="22"/>
      <x:c r="C350" s="22"/>
      <x:c r="D350" s="22"/>
      <x:c r="E350" s="9" t="str">
        <x:v>裙长未明确</x:v>
      </x:c>
      <x:c r="F350" s="9" t="str">
        <x:v>裙装</x:v>
      </x:c>
      <x:c r="G350" s="9" t="str">
        <x:v>半身裙</x:v>
      </x:c>
      <x:c r="H350" s="9" t="str">
        <x:v>女</x:v>
      </x:c>
      <x:c r="I350" s="9" t="str">
        <x:v>Fabrique  烟灰色法式都市通勤珠绣绵羊毛裙子鱼尾半裙女26年春夏</x:v>
      </x:c>
      <x:c r="J350" s="9" t="str">
        <x:v>FABRIQUE</x:v>
      </x:c>
      <x:c r="K350" s="24" t="n">
        <x:v>1373.45</x:v>
      </x:c>
      <x:c r="L350" s="25" t="e">
        <x:f>HYPERLINK("https://item.taobao.com/item.htm?id=1002929196532","打开商品")</x:f>
        <x:v>HYPERLINK is not implemented. linkLocation=https://item.taobao.com/item.htm?id=1002929196532, friendlyName=打开商品</x:v>
      </x:c>
      <x:c r="M350" s="25" t="e">
        <x:f>HYPERLINK("https://data.zhiyitech.cn/itemDetail/overview/base?itemId=1002929196532","打开知衣")</x:f>
        <x:v>HYPERLINK is not implemented. linkLocation=https://data.zhiyitech.cn/itemDetail/overview/base?itemId=1002929196532, friendlyName=打开知衣</x:v>
      </x:c>
      <x:c r="N350" s="25" t="e">
        <x:f>HYPERLINK("https://img.alicdn.com/bao/uploaded/i3/2212343841657/O1CN01MrSh8P1O6xOV7x9eL_!!4611686018427380601-0-item_pic.jpg","查看主图")</x:f>
        <x:v>HYPERLINK is not implemented. linkLocation=https://img.alicdn.com/bao/uploaded/i3/2212343841657/O1CN01MrSh8P1O6xOV7x9eL_!!4611686018427380601-0-item_pic.jpg, friendlyName=查看主图</x:v>
      </x:c>
      <x:c r="O350" s="9" t="str">
        <x:v>标题及既有类目语义复核；Fabrique  烟灰色法式都市通勤珠绣绵羊毛裙子鱼尾半裙女26年春夏；原类目及标题已能确认半身裙；展示使用已知大类，未知裙长下沉到结构字段，不强猜长短。</x:v>
      </x:c>
      <x:c r="P350" s="9" t="str">
        <x:v>普通男女装</x:v>
      </x:c>
      <x:c r="Q350" s="9" t="str">
        <x:v>W_SKIRTS_AVGPAID_1300_1400_ANNUAL2026.xlsx</x:v>
      </x:c>
      <x:c r="R350" s="9" t="str">
        <x:v>默认</x:v>
      </x:c>
      <x:c r="S350" s="9" t="n">
        <x:v>151</x:v>
      </x:c>
      <x:c r="T350" s="9" t="str">
        <x:v>bd4dae1e08e9eca7ddd0669235bf59107cdc418b9c2898fc16f36a7ab5748692</x:v>
      </x:c>
      <x:c r="U350" s="9" t="str">
        <x:v>W_SKIRTS_AVGPAID_1300_1400_ANNUAL2026</x:v>
      </x:c>
      <x:c r="V350" s="9" t="str">
        <x:v>W_SKIRTS_AVGPAID_1300_1400_ANNUAL2026.xlsx / 默认 / 第151行 / SHA256 bd4dae1e08e9eca7ddd0669235bf59107cdc418b9c2898fc16f36a7ab5748692</x:v>
      </x:c>
    </x:row>
    <x:row r="351" ht="58" customHeight="1">
      <x:c r="A351" s="23" t="str">
        <x:v>1034259892514</x:v>
      </x:c>
      <x:c r="B351" s="22"/>
      <x:c r="C351" s="22"/>
      <x:c r="D351" s="22"/>
      <x:c r="E351" s="9" t="str">
        <x:v>裙长未明确</x:v>
      </x:c>
      <x:c r="F351" s="9" t="str">
        <x:v>裙装</x:v>
      </x:c>
      <x:c r="G351" s="9" t="str">
        <x:v>半身裙</x:v>
      </x:c>
      <x:c r="H351" s="9" t="str">
        <x:v>女</x:v>
      </x:c>
      <x:c r="I351" s="9" t="str">
        <x:v>Fabrique x Vera Wang 水洗灰黑多种穿法可拆卸薄纱下摆牛仔半裙</x:v>
      </x:c>
      <x:c r="J351" s="9" t="str">
        <x:v>FABRIQUE</x:v>
      </x:c>
      <x:c r="K351" s="24" t="n">
        <x:v>1321.47</x:v>
      </x:c>
      <x:c r="L351" s="25" t="e">
        <x:f>HYPERLINK("https://item.taobao.com/item.htm?id=1034259892514","打开商品")</x:f>
        <x:v>HYPERLINK is not implemented. linkLocation=https://item.taobao.com/item.htm?id=1034259892514, friendlyName=打开商品</x:v>
      </x:c>
      <x:c r="M351" s="25" t="e">
        <x:f>HYPERLINK("https://data.zhiyitech.cn/itemDetail/overview/base?itemId=1034259892514","打开知衣")</x:f>
        <x:v>HYPERLINK is not implemented. linkLocation=https://data.zhiyitech.cn/itemDetail/overview/base?itemId=1034259892514, friendlyName=打开知衣</x:v>
      </x:c>
      <x:c r="N351" s="25" t="e">
        <x:f>HYPERLINK("https://img.alicdn.com/bao/uploaded/i3/2212343841657/O1CN01W4J4yy1O6xPSAJMGH_!!4611686018427380601-0-item_pic.jpg","查看主图")</x:f>
        <x:v>HYPERLINK is not implemented. linkLocation=https://img.alicdn.com/bao/uploaded/i3/2212343841657/O1CN01W4J4yy1O6xPSAJMGH_!!4611686018427380601-0-item_pic.jpg, friendlyName=查看主图</x:v>
      </x:c>
      <x:c r="O351" s="9" t="str">
        <x:v>标题及既有类目语义复核；Fabrique x Vera Wang 水洗灰黑多种穿法可拆卸薄纱下摆牛仔半裙；原类目及标题已能确认半身裙；展示使用已知大类，未知裙长下沉到结构字段，不强猜长短。</x:v>
      </x:c>
      <x:c r="P351" s="9" t="str">
        <x:v>普通男女装</x:v>
      </x:c>
      <x:c r="Q351" s="9" t="str">
        <x:v>W_SKIRTS_AVGPAID_1300_1400_ANNUAL2026.xlsx</x:v>
      </x:c>
      <x:c r="R351" s="9" t="str">
        <x:v>默认</x:v>
      </x:c>
      <x:c r="S351" s="9" t="n">
        <x:v>230</x:v>
      </x:c>
      <x:c r="T351" s="9" t="str">
        <x:v>bd4dae1e08e9eca7ddd0669235bf59107cdc418b9c2898fc16f36a7ab5748692</x:v>
      </x:c>
      <x:c r="U351" s="9" t="str">
        <x:v>W_SKIRTS_AVGPAID_1300_1400_ANNUAL2026</x:v>
      </x:c>
      <x:c r="V351" s="9" t="str">
        <x:v>W_SKIRTS_AVGPAID_1300_1400_ANNUAL2026.xlsx / 默认 / 第230行 / SHA256 bd4dae1e08e9eca7ddd0669235bf59107cdc418b9c2898fc16f36a7ab5748692</x:v>
      </x:c>
    </x:row>
    <x:row r="352" ht="58" customHeight="1">
      <x:c r="A352" s="23" t="str">
        <x:v>1042853231410</x:v>
      </x:c>
      <x:c r="B352" s="22"/>
      <x:c r="C352" s="22"/>
      <x:c r="D352" s="22"/>
      <x:c r="E352" s="9" t="str">
        <x:v>裙长未明确</x:v>
      </x:c>
      <x:c r="F352" s="9" t="str">
        <x:v>裙装</x:v>
      </x:c>
      <x:c r="G352" s="9" t="str">
        <x:v>半身裙</x:v>
      </x:c>
      <x:c r="H352" s="9" t="str">
        <x:v>女</x:v>
      </x:c>
      <x:c r="I352" s="9" t="str">
        <x:v>Fabrique 蓝白条纹镂空刺绣蛋糕裙抽绳松紧腰半裙2026年春夏新品</x:v>
      </x:c>
      <x:c r="J352" s="9" t="str">
        <x:v>FABRIQUE</x:v>
      </x:c>
      <x:c r="K352" s="24" t="n">
        <x:v>1308.54</x:v>
      </x:c>
      <x:c r="L352" s="25" t="e">
        <x:f>HYPERLINK("https://item.taobao.com/item.htm?id=1042853231410","打开商品")</x:f>
        <x:v>HYPERLINK is not implemented. linkLocation=https://item.taobao.com/item.htm?id=1042853231410, friendlyName=打开商品</x:v>
      </x:c>
      <x:c r="M352" s="25" t="e">
        <x:f>HYPERLINK("https://data.zhiyitech.cn/itemDetail/overview/base?itemId=1042853231410","打开知衣")</x:f>
        <x:v>HYPERLINK is not implemented. linkLocation=https://data.zhiyitech.cn/itemDetail/overview/base?itemId=1042853231410, friendlyName=打开知衣</x:v>
      </x:c>
      <x:c r="N352" s="25" t="e">
        <x:f>HYPERLINK("https://img.alicdn.com/bao/uploaded/i4/2212343841657/O1CN01SDPc1E1O6xPpEVtXC_!!4611686018427380601-0-item_pic.jpg","查看主图")</x:f>
        <x:v>HYPERLINK is not implemented. linkLocation=https://img.alicdn.com/bao/uploaded/i4/2212343841657/O1CN01SDPc1E1O6xPpEVtXC_!!4611686018427380601-0-item_pic.jpg, friendlyName=查看主图</x:v>
      </x:c>
      <x:c r="O352" s="9" t="str">
        <x:v>标题及既有类目语义复核；Fabrique 蓝白条纹镂空刺绣蛋糕裙抽绳松紧腰半裙2026年春夏新品；原类目及标题已能确认半身裙；展示使用已知大类，未知裙长下沉到结构字段，不强猜长短。</x:v>
      </x:c>
      <x:c r="P352" s="9" t="str">
        <x:v>普通男女装</x:v>
      </x:c>
      <x:c r="Q352" s="9" t="str">
        <x:v>W_SKIRTS_AVGPAID_1300_1400_ANNUAL2026.xlsx</x:v>
      </x:c>
      <x:c r="R352" s="9" t="str">
        <x:v>默认</x:v>
      </x:c>
      <x:c r="S352" s="9" t="n">
        <x:v>350</x:v>
      </x:c>
      <x:c r="T352" s="9" t="str">
        <x:v>bd4dae1e08e9eca7ddd0669235bf59107cdc418b9c2898fc16f36a7ab5748692</x:v>
      </x:c>
      <x:c r="U352" s="9" t="str">
        <x:v>W_SKIRTS_AVGPAID_1300_1400_ANNUAL2026</x:v>
      </x:c>
      <x:c r="V352" s="9" t="str">
        <x:v>W_SKIRTS_AVGPAID_1300_1400_ANNUAL2026.xlsx / 默认 / 第350行 / SHA256 bd4dae1e08e9eca7ddd0669235bf59107cdc418b9c2898fc16f36a7ab5748692</x:v>
      </x:c>
    </x:row>
    <x:row r="353" ht="58" customHeight="1">
      <x:c r="A353" s="23" t="str">
        <x:v>1046431823806</x:v>
      </x:c>
      <x:c r="B353" s="22"/>
      <x:c r="C353" s="22"/>
      <x:c r="D353" s="22"/>
      <x:c r="E353" s="9" t="str">
        <x:v>裙长未明确</x:v>
      </x:c>
      <x:c r="F353" s="9" t="str">
        <x:v>裙装</x:v>
      </x:c>
      <x:c r="G353" s="9" t="str">
        <x:v>半身裙</x:v>
      </x:c>
      <x:c r="H353" s="9" t="str">
        <x:v>女</x:v>
      </x:c>
      <x:c r="I353" s="9" t="str">
        <x:v>Fabrique 丝巾收藏家印花垂褶系带女不规则半身裙2026年夏季新品</x:v>
      </x:c>
      <x:c r="J353" s="9" t="str">
        <x:v>FABRIQUE</x:v>
      </x:c>
      <x:c r="K353" s="24" t="n">
        <x:v>1364.14</x:v>
      </x:c>
      <x:c r="L353" s="25" t="e">
        <x:f>HYPERLINK("https://item.taobao.com/item.htm?id=1046431823806","打开商品")</x:f>
        <x:v>HYPERLINK is not implemented. linkLocation=https://item.taobao.com/item.htm?id=1046431823806, friendlyName=打开商品</x:v>
      </x:c>
      <x:c r="M353" s="25" t="e">
        <x:f>HYPERLINK("https://data.zhiyitech.cn/itemDetail/overview/base?itemId=1046431823806","打开知衣")</x:f>
        <x:v>HYPERLINK is not implemented. linkLocation=https://data.zhiyitech.cn/itemDetail/overview/base?itemId=1046431823806, friendlyName=打开知衣</x:v>
      </x:c>
      <x:c r="N353" s="25" t="e">
        <x:f>HYPERLINK("https://img.alicdn.com/bao/uploaded/i2/2212343841657/O1CN01oTIWfTqBRpH1chua-2212343841657.jpg","查看主图")</x:f>
        <x:v>HYPERLINK is not implemented. linkLocation=https://img.alicdn.com/bao/uploaded/i2/2212343841657/O1CN01oTIWfTqBRpH1chua-2212343841657.jpg, friendlyName=查看主图</x:v>
      </x:c>
      <x:c r="O353" s="9" t="str">
        <x:v>标题及既有类目语义复核；Fabrique 丝巾收藏家印花垂褶系带女不规则半身裙2026年夏季新品；原类目及标题已能确认半身裙；展示使用已知大类，未知裙长下沉到结构字段，不强猜长短。</x:v>
      </x:c>
      <x:c r="P353" s="9" t="str">
        <x:v>普通男女装</x:v>
      </x:c>
      <x:c r="Q353" s="9" t="str">
        <x:v>W_SKIRTS_AVGPAID_1300_1400_ANNUAL2026.xlsx</x:v>
      </x:c>
      <x:c r="R353" s="9" t="str">
        <x:v>默认</x:v>
      </x:c>
      <x:c r="S353" s="9" t="n">
        <x:v>82</x:v>
      </x:c>
      <x:c r="T353" s="9" t="str">
        <x:v>bd4dae1e08e9eca7ddd0669235bf59107cdc418b9c2898fc16f36a7ab5748692</x:v>
      </x:c>
      <x:c r="U353" s="9" t="str">
        <x:v>W_SKIRTS_AVGPAID_1300_1400_ANNUAL2026</x:v>
      </x:c>
      <x:c r="V353" s="9" t="str">
        <x:v>W_SKIRTS_AVGPAID_1300_1400_ANNUAL2026.xlsx / 默认 / 第82行 / SHA256 bd4dae1e08e9eca7ddd0669235bf59107cdc418b9c2898fc16f36a7ab5748692</x:v>
      </x:c>
    </x:row>
    <x:row r="354" ht="58" customHeight="1">
      <x:c r="A354" s="23" t="str">
        <x:v>901048853923</x:v>
      </x:c>
      <x:c r="B354" s="22"/>
      <x:c r="C354" s="22"/>
      <x:c r="D354" s="22"/>
      <x:c r="E354" s="9" t="str">
        <x:v>裙长未明确</x:v>
      </x:c>
      <x:c r="F354" s="9" t="str">
        <x:v>裙装</x:v>
      </x:c>
      <x:c r="G354" s="9" t="str">
        <x:v>半身裙</x:v>
      </x:c>
      <x:c r="H354" s="9" t="str">
        <x:v>女</x:v>
      </x:c>
      <x:c r="I354" s="9" t="str">
        <x:v>Fabrique宫廷谧境梨花刺绣手工立体钉花高腰伞裙春夏女装</x:v>
      </x:c>
      <x:c r="J354" s="9" t="str">
        <x:v>FABRIQUE</x:v>
      </x:c>
      <x:c r="K354" s="24" t="n">
        <x:v>1510.61</x:v>
      </x:c>
      <x:c r="L354" s="25" t="e">
        <x:f>HYPERLINK("https://item.taobao.com/item.htm?id=901048853923","打开商品")</x:f>
        <x:v>HYPERLINK is not implemented. linkLocation=https://item.taobao.com/item.htm?id=901048853923, friendlyName=打开商品</x:v>
      </x:c>
      <x:c r="M354" s="25" t="e">
        <x:f>HYPERLINK("https://data.zhiyitech.cn/itemDetail/overview/base?itemId=901048853923","打开知衣")</x:f>
        <x:v>HYPERLINK is not implemented. linkLocation=https://data.zhiyitech.cn/itemDetail/overview/base?itemId=901048853923, friendlyName=打开知衣</x:v>
      </x:c>
      <x:c r="N354" s="25" t="e">
        <x:f>HYPERLINK("https://img.alicdn.com/bao/uploaded/i3/2212343841657/O1CN01IeUIKj1O6xKb8CR95_!!4611686018427380601-0-item_pic.jpg","查看主图")</x:f>
        <x:v>HYPERLINK is not implemented. linkLocation=https://img.alicdn.com/bao/uploaded/i3/2212343841657/O1CN01IeUIKj1O6xKb8CR95_!!4611686018427380601-0-item_pic.jpg, friendlyName=查看主图</x:v>
      </x:c>
      <x:c r="O354" s="9" t="str">
        <x:v>标题及既有类目语义复核；Fabrique宫廷谧境梨花刺绣手工立体钉花高腰伞裙春夏女装；原类目及标题已能确认半身裙；展示使用已知大类，未知裙长下沉到结构字段，不强猜长短。</x:v>
      </x:c>
      <x:c r="P354" s="9" t="str">
        <x:v>普通男女装</x:v>
      </x:c>
      <x:c r="Q354" s="9" t="str">
        <x:v>W_SKIRTS_AVGPAID_1500_1600_ANNUAL2026.xlsx</x:v>
      </x:c>
      <x:c r="R354" s="9" t="str">
        <x:v>默认</x:v>
      </x:c>
      <x:c r="S354" s="9" t="n">
        <x:v>162</x:v>
      </x:c>
      <x:c r="T354" s="9" t="str">
        <x:v>deede8b56943df4f914be45dba170f12e69064023d6ef0e88dbde1764f6ba23e</x:v>
      </x:c>
      <x:c r="U354" s="9" t="str">
        <x:v>W_SKIRTS_AVGPAID_1500_1600_ANNUAL2026</x:v>
      </x:c>
      <x:c r="V354" s="9" t="str">
        <x:v>W_SKIRTS_AVGPAID_1500_1600_ANNUAL2026.xlsx / 默认 / 第162行 / SHA256 deede8b56943df4f914be45dba170f12e69064023d6ef0e88dbde1764f6ba23e</x:v>
      </x:c>
    </x:row>
    <x:row r="355" ht="58" customHeight="1">
      <x:c r="A355" s="23" t="str">
        <x:v>974450394643</x:v>
      </x:c>
      <x:c r="B355" s="22"/>
      <x:c r="C355" s="22"/>
      <x:c r="D355" s="22"/>
      <x:c r="E355" s="9" t="str">
        <x:v>裙长未明确</x:v>
      </x:c>
      <x:c r="F355" s="9" t="str">
        <x:v>裙装</x:v>
      </x:c>
      <x:c r="G355" s="9" t="str">
        <x:v>半身裙</x:v>
      </x:c>
      <x:c r="H355" s="9" t="str">
        <x:v>女</x:v>
      </x:c>
      <x:c r="I355" s="9" t="str">
        <x:v>Fabrique 精纺绵羊毛拼接格纹百褶半裙冬季新品</x:v>
      </x:c>
      <x:c r="J355" s="9" t="str">
        <x:v>FABRIQUE</x:v>
      </x:c>
      <x:c r="K355" s="24" t="n">
        <x:v>1381.52</x:v>
      </x:c>
      <x:c r="L355" s="25" t="e">
        <x:f>HYPERLINK("https://item.taobao.com/item.htm?id=974450394643","打开商品")</x:f>
        <x:v>HYPERLINK is not implemented. linkLocation=https://item.taobao.com/item.htm?id=974450394643, friendlyName=打开商品</x:v>
      </x:c>
      <x:c r="M355" s="25" t="e">
        <x:f>HYPERLINK("https://data.zhiyitech.cn/itemDetail/overview/base?itemId=974450394643","打开知衣")</x:f>
        <x:v>HYPERLINK is not implemented. linkLocation=https://data.zhiyitech.cn/itemDetail/overview/base?itemId=974450394643, friendlyName=打开知衣</x:v>
      </x:c>
      <x:c r="N355" s="25" t="e">
        <x:f>HYPERLINK("https://img.alicdn.com/bao/uploaded/i3/2212343841657/O1CN01UEhaX11O6xOfJmix5-2212343841657.jpg","查看主图")</x:f>
        <x:v>HYPERLINK is not implemented. linkLocation=https://img.alicdn.com/bao/uploaded/i3/2212343841657/O1CN01UEhaX11O6xOfJmix5-2212343841657.jpg, friendlyName=查看主图</x:v>
      </x:c>
      <x:c r="O355" s="9" t="str">
        <x:v>标题及既有类目语义复核；Fabrique 精纺绵羊毛拼接格纹百褶半裙冬季新品；原类目及标题已能确认半身裙；展示使用已知大类，未知裙长下沉到结构字段，不强猜长短。</x:v>
      </x:c>
      <x:c r="P355" s="9" t="str">
        <x:v>普通男女装</x:v>
      </x:c>
      <x:c r="Q355" s="9" t="str">
        <x:v>W_SKIRTS_AVGPAID_1300_1400_ANNUAL2026.xlsx</x:v>
      </x:c>
      <x:c r="R355" s="9" t="str">
        <x:v>默认</x:v>
      </x:c>
      <x:c r="S355" s="9" t="n">
        <x:v>156</x:v>
      </x:c>
      <x:c r="T355" s="9" t="str">
        <x:v>bd4dae1e08e9eca7ddd0669235bf59107cdc418b9c2898fc16f36a7ab5748692</x:v>
      </x:c>
      <x:c r="U355" s="9" t="str">
        <x:v>W_SKIRTS_AVGPAID_1300_1400_ANNUAL2026</x:v>
      </x:c>
      <x:c r="V355" s="9" t="str">
        <x:v>W_SKIRTS_AVGPAID_1300_1400_ANNUAL2026.xlsx / 默认 / 第156行 / SHA256 bd4dae1e08e9eca7ddd0669235bf59107cdc418b9c2898fc16f36a7ab5748692</x:v>
      </x:c>
    </x:row>
    <x:row r="356" ht="58" customHeight="1">
      <x:c r="A356" s="23" t="str">
        <x:v>976959120266</x:v>
      </x:c>
      <x:c r="B356" s="22"/>
      <x:c r="C356" s="22"/>
      <x:c r="D356" s="22"/>
      <x:c r="E356" s="9" t="str">
        <x:v>裙长未明确</x:v>
      </x:c>
      <x:c r="F356" s="9" t="str">
        <x:v>裙装</x:v>
      </x:c>
      <x:c r="G356" s="9" t="str">
        <x:v>半身裙</x:v>
      </x:c>
      <x:c r="H356" s="9" t="str">
        <x:v>女</x:v>
      </x:c>
      <x:c r="I356" s="9" t="str">
        <x:v>【商场同款】Fabrique紫标 四面弹三醋酸立裁式侧开衩荷叶边半裙</x:v>
      </x:c>
      <x:c r="J356" s="9" t="str">
        <x:v>FABRIQUE</x:v>
      </x:c>
      <x:c r="K356" s="24" t="n">
        <x:v>1774.77</x:v>
      </x:c>
      <x:c r="L356" s="25" t="e">
        <x:f>HYPERLINK("https://item.taobao.com/item.htm?id=976959120266","打开商品")</x:f>
        <x:v>HYPERLINK is not implemented. linkLocation=https://item.taobao.com/item.htm?id=976959120266, friendlyName=打开商品</x:v>
      </x:c>
      <x:c r="M356" s="25" t="e">
        <x:f>HYPERLINK("https://data.zhiyitech.cn/itemDetail/overview/base?itemId=976959120266","打开知衣")</x:f>
        <x:v>HYPERLINK is not implemented. linkLocation=https://data.zhiyitech.cn/itemDetail/overview/base?itemId=976959120266, friendlyName=打开知衣</x:v>
      </x:c>
      <x:c r="N356" s="25" t="e">
        <x:f>HYPERLINK("https://img.alicdn.com/bao/uploaded/i2/2212343841657/O1CN01SogtYZIHWED2vH2e_!!4611686018427380601-0-item_pic.jpg","查看主图")</x:f>
        <x:v>HYPERLINK is not implemented. linkLocation=https://img.alicdn.com/bao/uploaded/i2/2212343841657/O1CN01SogtYZIHWED2vH2e_!!4611686018427380601-0-item_pic.jpg, friendlyName=查看主图</x:v>
      </x:c>
      <x:c r="O356" s="9" t="str">
        <x:v>标题及既有类目语义复核；【商场同款】Fabrique紫标 四面弹三醋酸立裁式侧开衩荷叶边半裙；原类目及标题已能确认半身裙；展示使用已知大类，未知裙长下沉到结构字段，不强猜长短。</x:v>
      </x:c>
      <x:c r="P356" s="9" t="str">
        <x:v>普通男女装</x:v>
      </x:c>
      <x:c r="Q356" s="9" t="str">
        <x:v>W_SKIRTS_AVGPAID_1700_1800_ANNUAL2026.xlsx</x:v>
      </x:c>
      <x:c r="R356" s="9" t="str">
        <x:v>默认</x:v>
      </x:c>
      <x:c r="S356" s="9" t="n">
        <x:v>458</x:v>
      </x:c>
      <x:c r="T356" s="9" t="str">
        <x:v>c25ed77c53c7c5cfcf728778a0e9b297d8689503f62756a939cbd534ca9b587a</x:v>
      </x:c>
      <x:c r="U356" s="9" t="str">
        <x:v>W_SKIRTS_AVGPAID_1700_1800_ANNUAL2026</x:v>
      </x:c>
      <x:c r="V356" s="9" t="str">
        <x:v>W_SKIRTS_AVGPAID_1700_1800_ANNUAL2026.xlsx / 默认 / 第458行 / SHA256 c25ed77c53c7c5cfcf728778a0e9b297d8689503f62756a939cbd534ca9b587a</x:v>
      </x:c>
    </x:row>
    <x:row r="357" ht="58" customHeight="1">
      <x:c r="A357" s="23" t="str">
        <x:v>980243603116</x:v>
      </x:c>
      <x:c r="B357" s="22"/>
      <x:c r="C357" s="22"/>
      <x:c r="D357" s="22"/>
      <x:c r="E357" s="9" t="str">
        <x:v>裙长未明确</x:v>
      </x:c>
      <x:c r="F357" s="9" t="str">
        <x:v>裙装</x:v>
      </x:c>
      <x:c r="G357" s="9" t="str">
        <x:v>半身裙</x:v>
      </x:c>
      <x:c r="H357" s="9" t="str">
        <x:v>女</x:v>
      </x:c>
      <x:c r="I357" s="9" t="str">
        <x:v>Fabrique英伦格纹羊毛弧形分割伞裙毛呢半裙设计感半身裙女</x:v>
      </x:c>
      <x:c r="J357" s="9" t="str">
        <x:v>FABRIQUE</x:v>
      </x:c>
      <x:c r="K357" s="24" t="n">
        <x:v>1308.16</x:v>
      </x:c>
      <x:c r="L357" s="25" t="e">
        <x:f>HYPERLINK("https://item.taobao.com/item.htm?id=980243603116","打开商品")</x:f>
        <x:v>HYPERLINK is not implemented. linkLocation=https://item.taobao.com/item.htm?id=980243603116, friendlyName=打开商品</x:v>
      </x:c>
      <x:c r="M357" s="25" t="e">
        <x:f>HYPERLINK("https://data.zhiyitech.cn/itemDetail/overview/base?itemId=980243603116","打开知衣")</x:f>
        <x:v>HYPERLINK is not implemented. linkLocation=https://data.zhiyitech.cn/itemDetail/overview/base?itemId=980243603116, friendlyName=打开知衣</x:v>
      </x:c>
      <x:c r="N357" s="25" t="e">
        <x:f>HYPERLINK("https://img.alicdn.com/bao/uploaded/i4/2212343841657/O1CN01Wn2maJ1O6xNSqi2u1_!!4611686018427380601-2-item_pic.png","查看主图")</x:f>
        <x:v>HYPERLINK is not implemented. linkLocation=https://img.alicdn.com/bao/uploaded/i4/2212343841657/O1CN01Wn2maJ1O6xNSqi2u1_!!4611686018427380601-2-item_pic.png, friendlyName=查看主图</x:v>
      </x:c>
      <x:c r="O357" s="9" t="str">
        <x:v>标题及既有类目语义复核；Fabrique英伦格纹羊毛弧形分割伞裙毛呢半裙设计感半身裙女；原类目及标题已能确认半身裙；展示使用已知大类，未知裙长下沉到结构字段，不强猜长短。</x:v>
      </x:c>
      <x:c r="P357" s="9" t="str">
        <x:v>普通男女装</x:v>
      </x:c>
      <x:c r="Q357" s="9" t="str">
        <x:v>W_SKIRTS_AVGPAID_1300_1400_ANNUAL2026.xlsx</x:v>
      </x:c>
      <x:c r="R357" s="9" t="str">
        <x:v>默认</x:v>
      </x:c>
      <x:c r="S357" s="9" t="n">
        <x:v>109</x:v>
      </x:c>
      <x:c r="T357" s="9" t="str">
        <x:v>bd4dae1e08e9eca7ddd0669235bf59107cdc418b9c2898fc16f36a7ab5748692</x:v>
      </x:c>
      <x:c r="U357" s="9" t="str">
        <x:v>W_SKIRTS_AVGPAID_1300_1400_ANNUAL2026</x:v>
      </x:c>
      <x:c r="V357" s="9" t="str">
        <x:v>W_SKIRTS_AVGPAID_1300_1400_ANNUAL2026.xlsx / 默认 / 第109行 / SHA256 bd4dae1e08e9eca7ddd0669235bf59107cdc418b9c2898fc16f36a7ab5748692</x:v>
      </x:c>
    </x:row>
    <x:row r="358" ht="58" customHeight="1">
      <x:c r="A358" s="23" t="str">
        <x:v>1009156536390</x:v>
      </x:c>
      <x:c r="B358" s="22"/>
      <x:c r="C358" s="22"/>
      <x:c r="D358" s="22"/>
      <x:c r="E358" s="9" t="str">
        <x:v>裙长未明确</x:v>
      </x:c>
      <x:c r="F358" s="9" t="str">
        <x:v>裙装</x:v>
      </x:c>
      <x:c r="G358" s="9" t="str">
        <x:v>半身裙</x:v>
      </x:c>
      <x:c r="H358" s="9" t="str">
        <x:v>女</x:v>
      </x:c>
      <x:c r="I358" s="9" t="str">
        <x:v>FAIRY WANG半植鞣小羊皮开叉半裙</x:v>
      </x:c>
      <x:c r="J358" s="9" t="str">
        <x:v>FAIRY WANG</x:v>
      </x:c>
      <x:c r="K358" s="24" t="n">
        <x:v>1786.86</x:v>
      </x:c>
      <x:c r="L358" s="25" t="e">
        <x:f>HYPERLINK("https://item.taobao.com/item.htm?id=1009156536390","打开商品")</x:f>
        <x:v>HYPERLINK is not implemented. linkLocation=https://item.taobao.com/item.htm?id=1009156536390, friendlyName=打开商品</x:v>
      </x:c>
      <x:c r="M358" s="25" t="e">
        <x:f>HYPERLINK("https://data.zhiyitech.cn/itemDetail/overview/base?itemId=1009156536390","打开知衣")</x:f>
        <x:v>HYPERLINK is not implemented. linkLocation=https://data.zhiyitech.cn/itemDetail/overview/base?itemId=1009156536390, friendlyName=打开知衣</x:v>
      </x:c>
      <x:c r="N358" s="25" t="e">
        <x:f>HYPERLINK("https://img.alicdn.com/bao/uploaded/i2/2220568250908/O1CN01SzKmID1IZujcShOvu_!!4611686018427382300-0-item_pic.jpg","查看主图")</x:f>
        <x:v>HYPERLINK is not implemented. linkLocation=https://img.alicdn.com/bao/uploaded/i2/2220568250908/O1CN01SzKmID1IZujcShOvu_!!4611686018427382300-0-item_pic.jpg, friendlyName=查看主图</x:v>
      </x:c>
      <x:c r="O358" s="9" t="str">
        <x:v>标题及既有类目语义复核；FAIRY WANG半植鞣小羊皮开叉半裙；原类目及标题已能确认半身裙；展示使用已知大类，未知裙长下沉到结构字段，不强猜长短。</x:v>
      </x:c>
      <x:c r="P358" s="9" t="str">
        <x:v>普通男女装</x:v>
      </x:c>
      <x:c r="Q358" s="9" t="str">
        <x:v>W_SKIRTS_AVGPAID_1700_1800_ANNUAL2026.xlsx</x:v>
      </x:c>
      <x:c r="R358" s="9" t="str">
        <x:v>默认</x:v>
      </x:c>
      <x:c r="S358" s="9" t="n">
        <x:v>45</x:v>
      </x:c>
      <x:c r="T358" s="9" t="str">
        <x:v>c25ed77c53c7c5cfcf728778a0e9b297d8689503f62756a939cbd534ca9b587a</x:v>
      </x:c>
      <x:c r="U358" s="9" t="str">
        <x:v>W_SKIRTS_AVGPAID_1700_1800_ANNUAL2026</x:v>
      </x:c>
      <x:c r="V358" s="9" t="str">
        <x:v>W_SKIRTS_AVGPAID_1700_1800_ANNUAL2026.xlsx / 默认 / 第45行 / SHA256 c25ed77c53c7c5cfcf728778a0e9b297d8689503f62756a939cbd534ca9b587a</x:v>
      </x:c>
    </x:row>
    <x:row r="359" ht="58" customHeight="1">
      <x:c r="A359" s="23" t="str">
        <x:v>971164090257</x:v>
      </x:c>
      <x:c r="B359" s="22"/>
      <x:c r="C359" s="22"/>
      <x:c r="D359" s="22"/>
      <x:c r="E359" s="9" t="str">
        <x:v>裙长未明确</x:v>
      </x:c>
      <x:c r="F359" s="9" t="str">
        <x:v>裙装</x:v>
      </x:c>
      <x:c r="G359" s="9" t="str">
        <x:v>半身裙</x:v>
      </x:c>
      <x:c r="H359" s="9" t="str">
        <x:v>女</x:v>
      </x:c>
      <x:c r="I359" s="9" t="str">
        <x:v>FAIRY WANG日本进口剪花提花旗袍半裙 优雅设计师款</x:v>
      </x:c>
      <x:c r="J359" s="9" t="str">
        <x:v>FAIRY WANG</x:v>
      </x:c>
      <x:c r="K359" s="24" t="n">
        <x:v>1320.12</x:v>
      </x:c>
      <x:c r="L359" s="25" t="e">
        <x:f>HYPERLINK("https://item.taobao.com/item.htm?id=971164090257","打开商品")</x:f>
        <x:v>HYPERLINK is not implemented. linkLocation=https://item.taobao.com/item.htm?id=971164090257, friendlyName=打开商品</x:v>
      </x:c>
      <x:c r="M359" s="25" t="e">
        <x:f>HYPERLINK("https://data.zhiyitech.cn/itemDetail/overview/base?itemId=971164090257","打开知衣")</x:f>
        <x:v>HYPERLINK is not implemented. linkLocation=https://data.zhiyitech.cn/itemDetail/overview/base?itemId=971164090257, friendlyName=打开知衣</x:v>
      </x:c>
      <x:c r="N359" s="25" t="e">
        <x:f>HYPERLINK("https://img.alicdn.com/bao/uploaded/i2/2220568250908/O1CN01IL3oxn1IZuiIHlI2m_!!4611686018427382300-0-item_pic.jpg","查看主图")</x:f>
        <x:v>HYPERLINK is not implemented. linkLocation=https://img.alicdn.com/bao/uploaded/i2/2220568250908/O1CN01IL3oxn1IZuiIHlI2m_!!4611686018427382300-0-item_pic.jpg, friendlyName=查看主图</x:v>
      </x:c>
      <x:c r="O359" s="9" t="str">
        <x:v>标题及既有类目语义复核；FAIRY WANG日本进口剪花提花旗袍半裙 优雅设计师款；原类目及标题已能确认半身裙；展示使用已知大类，未知裙长下沉到结构字段，不强猜长短。</x:v>
      </x:c>
      <x:c r="P359" s="9" t="str">
        <x:v>普通男女装</x:v>
      </x:c>
      <x:c r="Q359" s="9" t="str">
        <x:v>W_SKIRTS_AVGPAID_1300_1400_ANNUAL2026.xlsx</x:v>
      </x:c>
      <x:c r="R359" s="9" t="str">
        <x:v>默认</x:v>
      </x:c>
      <x:c r="S359" s="9" t="n">
        <x:v>489</x:v>
      </x:c>
      <x:c r="T359" s="9" t="str">
        <x:v>bd4dae1e08e9eca7ddd0669235bf59107cdc418b9c2898fc16f36a7ab5748692</x:v>
      </x:c>
      <x:c r="U359" s="9" t="str">
        <x:v>W_SKIRTS_AVGPAID_1300_1400_ANNUAL2026</x:v>
      </x:c>
      <x:c r="V359" s="9" t="str">
        <x:v>W_SKIRTS_AVGPAID_1300_1400_ANNUAL2026.xlsx / 默认 / 第489行 / SHA256 bd4dae1e08e9eca7ddd0669235bf59107cdc418b9c2898fc16f36a7ab5748692</x:v>
      </x:c>
    </x:row>
    <x:row r="360" ht="58" customHeight="1">
      <x:c r="A360" s="23" t="str">
        <x:v>996334273457</x:v>
      </x:c>
      <x:c r="B360" s="22"/>
      <x:c r="C360" s="22"/>
      <x:c r="D360" s="22"/>
      <x:c r="E360" s="9" t="str">
        <x:v>裙长未明确</x:v>
      </x:c>
      <x:c r="F360" s="9" t="str">
        <x:v>裙装</x:v>
      </x:c>
      <x:c r="G360" s="9" t="str">
        <x:v>半身裙</x:v>
      </x:c>
      <x:c r="H360" s="9" t="str">
        <x:v>女</x:v>
      </x:c>
      <x:c r="I360" s="9" t="str">
        <x:v>FAIRY WANG西班牙进口皮胚 超薄半植鞣油蜡小羊皮复古开叉半裙</x:v>
      </x:c>
      <x:c r="J360" s="9" t="str">
        <x:v>FAIRY WANG</x:v>
      </x:c>
      <x:c r="K360" s="24" t="n">
        <x:v>1750.2</x:v>
      </x:c>
      <x:c r="L360" s="25" t="e">
        <x:f>HYPERLINK("https://item.taobao.com/item.htm?id=996334273457","打开商品")</x:f>
        <x:v>HYPERLINK is not implemented. linkLocation=https://item.taobao.com/item.htm?id=996334273457, friendlyName=打开商品</x:v>
      </x:c>
      <x:c r="M360" s="25" t="e">
        <x:f>HYPERLINK("https://data.zhiyitech.cn/itemDetail/overview/base?itemId=996334273457","打开知衣")</x:f>
        <x:v>HYPERLINK is not implemented. linkLocation=https://data.zhiyitech.cn/itemDetail/overview/base?itemId=996334273457, friendlyName=打开知衣</x:v>
      </x:c>
      <x:c r="N360" s="25" t="e">
        <x:f>HYPERLINK("https://img.alicdn.com/bao/uploaded/i2/2220568250908/O1CN01SzKmID1IZujcShOvu_!!4611686018427382300-0-item_pic.jpg","查看主图")</x:f>
        <x:v>HYPERLINK is not implemented. linkLocation=https://img.alicdn.com/bao/uploaded/i2/2220568250908/O1CN01SzKmID1IZujcShOvu_!!4611686018427382300-0-item_pic.jpg, friendlyName=查看主图</x:v>
      </x:c>
      <x:c r="O360" s="9" t="str">
        <x:v>标题及既有类目语义复核；FAIRY WANG西班牙进口皮胚 超薄半植鞣油蜡小羊皮复古开叉半裙；原类目及标题已能确认半身裙；展示使用已知大类，未知裙长下沉到结构字段，不强猜长短。</x:v>
      </x:c>
      <x:c r="P360" s="9" t="str">
        <x:v>普通男女装</x:v>
      </x:c>
      <x:c r="Q360" s="9" t="str">
        <x:v>W_SKIRTS_AVGPAID_1700_1800_ANNUAL2026.xlsx</x:v>
      </x:c>
      <x:c r="R360" s="9" t="str">
        <x:v>默认</x:v>
      </x:c>
      <x:c r="S360" s="9" t="n">
        <x:v>13</x:v>
      </x:c>
      <x:c r="T360" s="9" t="str">
        <x:v>c25ed77c53c7c5cfcf728778a0e9b297d8689503f62756a939cbd534ca9b587a</x:v>
      </x:c>
      <x:c r="U360" s="9" t="str">
        <x:v>W_SKIRTS_AVGPAID_1700_1800_ANNUAL2026</x:v>
      </x:c>
      <x:c r="V360" s="9" t="str">
        <x:v>W_SKIRTS_AVGPAID_1700_1800_ANNUAL2026.xlsx / 默认 / 第13行 / SHA256 c25ed77c53c7c5cfcf728778a0e9b297d8689503f62756a939cbd534ca9b587a</x:v>
      </x:c>
    </x:row>
    <x:row r="361" ht="58" customHeight="1">
      <x:c r="A361" s="23" t="str">
        <x:v>1074095054160</x:v>
      </x:c>
      <x:c r="B361" s="22"/>
      <x:c r="C361" s="22"/>
      <x:c r="D361" s="22"/>
      <x:c r="E361" s="9" t="str">
        <x:v>裙长未明确</x:v>
      </x:c>
      <x:c r="F361" s="9" t="str">
        <x:v>裙装</x:v>
      </x:c>
      <x:c r="G361" s="9" t="str">
        <x:v>半身裙</x:v>
      </x:c>
      <x:c r="H361" s="9" t="str">
        <x:v>女</x:v>
      </x:c>
      <x:c r="I361" s="9" t="str">
        <x:v>FILGood 新品黑色长半裙 170cm身高以上适合 FG06SK05</x:v>
      </x:c>
      <x:c r="J361" s="9" t="str">
        <x:v>FILGOOD</x:v>
      </x:c>
      <x:c r="K361" s="24" t="n">
        <x:v>1759.38</x:v>
      </x:c>
      <x:c r="L361" s="25" t="e">
        <x:f>HYPERLINK("https://item.taobao.com/item.htm?id=1074095054160","打开商品")</x:f>
        <x:v>HYPERLINK is not implemented. linkLocation=https://item.taobao.com/item.htm?id=1074095054160, friendlyName=打开商品</x:v>
      </x:c>
      <x:c r="M361" s="25" t="e">
        <x:f>HYPERLINK("https://data.zhiyitech.cn/itemDetail/overview/base?itemId=1074095054160","打开知衣")</x:f>
        <x:v>HYPERLINK is not implemented. linkLocation=https://data.zhiyitech.cn/itemDetail/overview/base?itemId=1074095054160, friendlyName=打开知衣</x:v>
      </x:c>
      <x:c r="N361" s="25" t="e">
        <x:f>HYPERLINK("https://img.alicdn.com/bao/uploaded/i2/2218615454551/O1CN01JyU8buMJGUJ2vH2e_!!2218615454551.jpg","查看主图")</x:f>
        <x:v>HYPERLINK is not implemented. linkLocation=https://img.alicdn.com/bao/uploaded/i2/2218615454551/O1CN01JyU8buMJGUJ2vH2e_!!2218615454551.jpg, friendlyName=查看主图</x:v>
      </x:c>
      <x:c r="O361" s="9" t="str">
        <x:v>标题及既有类目语义复核；FILGood 新品黑色长半裙 170cm身高以上适合 FG06SK05；原类目及标题已能确认半身裙；展示使用已知大类，未知裙长下沉到结构字段，不强猜长短。</x:v>
      </x:c>
      <x:c r="P361" s="9" t="str">
        <x:v>普通男女装</x:v>
      </x:c>
      <x:c r="Q361" s="9" t="str">
        <x:v>W_SKIRTS_AVGPAID_1700_1800_ANNUAL2026.xlsx</x:v>
      </x:c>
      <x:c r="R361" s="9" t="str">
        <x:v>默认</x:v>
      </x:c>
      <x:c r="S361" s="9" t="n">
        <x:v>264</x:v>
      </x:c>
      <x:c r="T361" s="9" t="str">
        <x:v>c25ed77c53c7c5cfcf728778a0e9b297d8689503f62756a939cbd534ca9b587a</x:v>
      </x:c>
      <x:c r="U361" s="9" t="str">
        <x:v>W_SKIRTS_AVGPAID_1700_1800_ANNUAL2026</x:v>
      </x:c>
      <x:c r="V361" s="9" t="str">
        <x:v>W_SKIRTS_AVGPAID_1700_1800_ANNUAL2026.xlsx / 默认 / 第264行 / SHA256 c25ed77c53c7c5cfcf728778a0e9b297d8689503f62756a939cbd534ca9b587a</x:v>
      </x:c>
    </x:row>
    <x:row r="362" ht="58" customHeight="1">
      <x:c r="A362" s="23" t="str">
        <x:v>1025903204873</x:v>
      </x:c>
      <x:c r="B362" s="22"/>
      <x:c r="C362" s="22"/>
      <x:c r="D362" s="22"/>
      <x:c r="E362" s="9" t="str">
        <x:v>裙长未明确</x:v>
      </x:c>
      <x:c r="F362" s="9" t="str">
        <x:v>裙装</x:v>
      </x:c>
      <x:c r="G362" s="9" t="str">
        <x:v>半身裙</x:v>
      </x:c>
      <x:c r="H362" s="9" t="str">
        <x:v>女</x:v>
      </x:c>
      <x:c r="I362" s="9" t="str">
        <x:v>FRAY I.D2026春夏新品优雅时尚波点高腰薄纱半身裙FWFS261062</x:v>
      </x:c>
      <x:c r="J362" s="9" t="str">
        <x:v>FRAY I.D</x:v>
      </x:c>
      <x:c r="K362" s="24" t="n">
        <x:v>1328.12</x:v>
      </x:c>
      <x:c r="L362" s="25" t="e">
        <x:f>HYPERLINK("https://item.taobao.com/item.htm?id=1025903204873","打开商品")</x:f>
        <x:v>HYPERLINK is not implemented. linkLocation=https://item.taobao.com/item.htm?id=1025903204873, friendlyName=打开商品</x:v>
      </x:c>
      <x:c r="M362" s="25" t="e">
        <x:f>HYPERLINK("https://data.zhiyitech.cn/itemDetail/overview/base?itemId=1025903204873","打开知衣")</x:f>
        <x:v>HYPERLINK is not implemented. linkLocation=https://data.zhiyitech.cn/itemDetail/overview/base?itemId=1025903204873, friendlyName=打开知衣</x:v>
      </x:c>
      <x:c r="N362" s="25" t="e">
        <x:f>HYPERLINK("https://img.alicdn.com/bao/uploaded/i3/2474522130/O1CN01cVohR3iEWOF1chua_!!2474522130.jpg","查看主图")</x:f>
        <x:v>HYPERLINK is not implemented. linkLocation=https://img.alicdn.com/bao/uploaded/i3/2474522130/O1CN01cVohR3iEWOF1chua_!!2474522130.jpg, friendlyName=查看主图</x:v>
      </x:c>
      <x:c r="O362" s="9" t="str">
        <x:v>标题及既有类目语义复核；FRAY I.D2026春夏新品优雅时尚波点高腰薄纱半身裙FWFS261062；原类目及标题已能确认半身裙；展示使用已知大类，未知裙长下沉到结构字段，不强猜长短。</x:v>
      </x:c>
      <x:c r="P362" s="9" t="str">
        <x:v>普通男女装</x:v>
      </x:c>
      <x:c r="Q362" s="9" t="str">
        <x:v>W_SKIRTS_AVGPAID_1300_1400_ANNUAL2026.xlsx</x:v>
      </x:c>
      <x:c r="R362" s="9" t="str">
        <x:v>默认</x:v>
      </x:c>
      <x:c r="S362" s="9" t="n">
        <x:v>363</x:v>
      </x:c>
      <x:c r="T362" s="9" t="str">
        <x:v>bd4dae1e08e9eca7ddd0669235bf59107cdc418b9c2898fc16f36a7ab5748692</x:v>
      </x:c>
      <x:c r="U362" s="9" t="str">
        <x:v>W_SKIRTS_AVGPAID_1300_1400_ANNUAL2026</x:v>
      </x:c>
      <x:c r="V362" s="9" t="str">
        <x:v>W_SKIRTS_AVGPAID_1300_1400_ANNUAL2026.xlsx / 默认 / 第363行 / SHA256 bd4dae1e08e9eca7ddd0669235bf59107cdc418b9c2898fc16f36a7ab5748692</x:v>
      </x:c>
    </x:row>
    <x:row r="363" ht="58" customHeight="1">
      <x:c r="A363" s="23" t="str">
        <x:v>1069840548571</x:v>
      </x:c>
      <x:c r="B363" s="22"/>
      <x:c r="C363" s="22"/>
      <x:c r="D363" s="22"/>
      <x:c r="E363" s="9" t="str">
        <x:v>裙长未明确</x:v>
      </x:c>
      <x:c r="F363" s="9" t="str">
        <x:v>裙装</x:v>
      </x:c>
      <x:c r="G363" s="9" t="str">
        <x:v>半身裙</x:v>
      </x:c>
      <x:c r="H363" s="9" t="str">
        <x:v>女</x:v>
      </x:c>
      <x:c r="I363" s="9" t="str">
        <x:v>FRAY I.D2026秋冬新品优雅气质纯色高腰荷叶褶边半身裙FWFS264005</x:v>
      </x:c>
      <x:c r="J363" s="9" t="str">
        <x:v>FRAY I.D</x:v>
      </x:c>
      <x:c r="K363" s="24" t="n">
        <x:v>1593.87</x:v>
      </x:c>
      <x:c r="L363" s="25" t="e">
        <x:f>HYPERLINK("https://item.taobao.com/item.htm?id=1069840548571","打开商品")</x:f>
        <x:v>HYPERLINK is not implemented. linkLocation=https://item.taobao.com/item.htm?id=1069840548571, friendlyName=打开商品</x:v>
      </x:c>
      <x:c r="M363" s="25" t="e">
        <x:f>HYPERLINK("https://data.zhiyitech.cn/itemDetail/overview/base?itemId=1069840548571","打开知衣")</x:f>
        <x:v>HYPERLINK is not implemented. linkLocation=https://data.zhiyitech.cn/itemDetail/overview/base?itemId=1069840548571, friendlyName=打开知衣</x:v>
      </x:c>
      <x:c r="N363" s="25" t="e">
        <x:f>HYPERLINK("https://img.alicdn.com/bao/uploaded/i2/2474522130/O1CN015CFR27kJemB1chua_!!2474522130.jpg","查看主图")</x:f>
        <x:v>HYPERLINK is not implemented. linkLocation=https://img.alicdn.com/bao/uploaded/i2/2474522130/O1CN015CFR27kJemB1chua_!!2474522130.jpg, friendlyName=查看主图</x:v>
      </x:c>
      <x:c r="O363" s="9" t="str">
        <x:v>标题及既有类目语义复核；FRAY I.D2026秋冬新品优雅气质纯色高腰荷叶褶边半身裙FWFS264005；原类目及标题已能确认半身裙；展示使用已知大类，未知裙长下沉到结构字段，不强猜长短。</x:v>
      </x:c>
      <x:c r="P363" s="9" t="str">
        <x:v>普通男女装</x:v>
      </x:c>
      <x:c r="Q363" s="9" t="str">
        <x:v>W_SKIRTS_AVGPAID_1500_1600_ANNUAL2026.xlsx</x:v>
      </x:c>
      <x:c r="R363" s="9" t="str">
        <x:v>默认</x:v>
      </x:c>
      <x:c r="S363" s="9" t="n">
        <x:v>492</x:v>
      </x:c>
      <x:c r="T363" s="9" t="str">
        <x:v>deede8b56943df4f914be45dba170f12e69064023d6ef0e88dbde1764f6ba23e</x:v>
      </x:c>
      <x:c r="U363" s="9" t="str">
        <x:v>W_SKIRTS_AVGPAID_1500_1600_ANNUAL2026</x:v>
      </x:c>
      <x:c r="V363" s="9" t="str">
        <x:v>W_SKIRTS_AVGPAID_1500_1600_ANNUAL2026.xlsx / 默认 / 第492行 / SHA256 deede8b56943df4f914be45dba170f12e69064023d6ef0e88dbde1764f6ba23e</x:v>
      </x:c>
    </x:row>
    <x:row r="364" ht="58" customHeight="1">
      <x:c r="A364" s="23" t="str">
        <x:v>978340042890</x:v>
      </x:c>
      <x:c r="B364" s="22"/>
      <x:c r="C364" s="22"/>
      <x:c r="D364" s="22"/>
      <x:c r="E364" s="9" t="str">
        <x:v>裙长未明确</x:v>
      </x:c>
      <x:c r="F364" s="9" t="str">
        <x:v>裙装</x:v>
      </x:c>
      <x:c r="G364" s="9" t="str">
        <x:v>半身裙</x:v>
      </x:c>
      <x:c r="H364" s="9" t="str">
        <x:v>女</x:v>
      </x:c>
      <x:c r="I364" s="9" t="str">
        <x:v>FRAY I.D秋冬优雅气质薄纱高腰印花半身裙FWFS254125</x:v>
      </x:c>
      <x:c r="J364" s="9" t="str">
        <x:v>FRAY I.D</x:v>
      </x:c>
      <x:c r="K364" s="24" t="n">
        <x:v>1331.83</x:v>
      </x:c>
      <x:c r="L364" s="25" t="e">
        <x:f>HYPERLINK("https://item.taobao.com/item.htm?id=978340042890","打开商品")</x:f>
        <x:v>HYPERLINK is not implemented. linkLocation=https://item.taobao.com/item.htm?id=978340042890, friendlyName=打开商品</x:v>
      </x:c>
      <x:c r="M364" s="25" t="e">
        <x:f>HYPERLINK("https://data.zhiyitech.cn/itemDetail/overview/base?itemId=978340042890","打开知衣")</x:f>
        <x:v>HYPERLINK is not implemented. linkLocation=https://data.zhiyitech.cn/itemDetail/overview/base?itemId=978340042890, friendlyName=打开知衣</x:v>
      </x:c>
      <x:c r="N364" s="25" t="e">
        <x:f>HYPERLINK("https://img.alicdn.com/bao/uploaded/i2/2474522130/O1CN01KijRRi6MQ5G1chua_!!2474522130.jpg","查看主图")</x:f>
        <x:v>HYPERLINK is not implemented. linkLocation=https://img.alicdn.com/bao/uploaded/i2/2474522130/O1CN01KijRRi6MQ5G1chua_!!2474522130.jpg, friendlyName=查看主图</x:v>
      </x:c>
      <x:c r="O364" s="9" t="str">
        <x:v>标题及既有类目语义复核；FRAY I.D秋冬优雅气质薄纱高腰印花半身裙FWFS254125；原类目及标题已能确认半身裙；展示使用已知大类，未知裙长下沉到结构字段，不强猜长短。</x:v>
      </x:c>
      <x:c r="P364" s="9" t="str">
        <x:v>普通男女装</x:v>
      </x:c>
      <x:c r="Q364" s="9" t="str">
        <x:v>W_SKIRTS_AVGPAID_1300_1400_ANNUAL2026.xlsx</x:v>
      </x:c>
      <x:c r="R364" s="9" t="str">
        <x:v>默认</x:v>
      </x:c>
      <x:c r="S364" s="9" t="n">
        <x:v>313</x:v>
      </x:c>
      <x:c r="T364" s="9" t="str">
        <x:v>bd4dae1e08e9eca7ddd0669235bf59107cdc418b9c2898fc16f36a7ab5748692</x:v>
      </x:c>
      <x:c r="U364" s="9" t="str">
        <x:v>W_SKIRTS_AVGPAID_1300_1400_ANNUAL2026</x:v>
      </x:c>
      <x:c r="V364" s="9" t="str">
        <x:v>W_SKIRTS_AVGPAID_1300_1400_ANNUAL2026.xlsx / 默认 / 第313行 / SHA256 bd4dae1e08e9eca7ddd0669235bf59107cdc418b9c2898fc16f36a7ab5748692</x:v>
      </x:c>
    </x:row>
    <x:row r="365" ht="58" customHeight="1">
      <x:c r="A365" s="23" t="str">
        <x:v>969962719716</x:v>
      </x:c>
      <x:c r="B365" s="22"/>
      <x:c r="C365" s="22"/>
      <x:c r="D365" s="22"/>
      <x:c r="E365" s="9" t="str">
        <x:v>裙长未明确</x:v>
      </x:c>
      <x:c r="F365" s="9" t="str">
        <x:v>裙装</x:v>
      </x:c>
      <x:c r="G365" s="9" t="str">
        <x:v>半身裙</x:v>
      </x:c>
      <x:c r="H365" s="9" t="str">
        <x:v>女</x:v>
      </x:c>
      <x:c r="I365" s="9" t="str">
        <x:v>【甄选折扣】GANNI女装 经典优雅秋气质褶皱复古半身裙 W1007979</x:v>
      </x:c>
      <x:c r="J365" s="9" t="str">
        <x:v>GANNI</x:v>
      </x:c>
      <x:c r="K365" s="24" t="n">
        <x:v>1563.48</x:v>
      </x:c>
      <x:c r="L365" s="25" t="e">
        <x:f>HYPERLINK("https://item.taobao.com/item.htm?id=969962719716","打开商品")</x:f>
        <x:v>HYPERLINK is not implemented. linkLocation=https://item.taobao.com/item.htm?id=969962719716, friendlyName=打开商品</x:v>
      </x:c>
      <x:c r="M365" s="25" t="e">
        <x:f>HYPERLINK("https://data.zhiyitech.cn/itemDetail/overview/base?itemId=969962719716","打开知衣")</x:f>
        <x:v>HYPERLINK is not implemented. linkLocation=https://data.zhiyitech.cn/itemDetail/overview/base?itemId=969962719716, friendlyName=打开知衣</x:v>
      </x:c>
      <x:c r="N365" s="25" t="e">
        <x:f>HYPERLINK("https://img.alicdn.com/bao/uploaded/i1/2211631931410/O1CN01Pj9Kt868UiF1chua_!!4611686018427379730-0-item_pic.jpg","查看主图")</x:f>
        <x:v>HYPERLINK is not implemented. linkLocation=https://img.alicdn.com/bao/uploaded/i1/2211631931410/O1CN01Pj9Kt868UiF1chua_!!4611686018427379730-0-item_pic.jpg, friendlyName=查看主图</x:v>
      </x:c>
      <x:c r="O365" s="9" t="str">
        <x:v>标题及既有类目语义复核；【甄选折扣】GANNI女装 经典优雅秋气质褶皱复古半身裙 W1007979；原类目及标题已能确认半身裙；展示使用已知大类，未知裙长下沉到结构字段，不强猜长短。</x:v>
      </x:c>
      <x:c r="P365" s="9" t="str">
        <x:v>普通男女装</x:v>
      </x:c>
      <x:c r="Q365" s="9" t="str">
        <x:v>W_SKIRTS_AVGPAID_1500_1600_ANNUAL2026.xlsx</x:v>
      </x:c>
      <x:c r="R365" s="9" t="str">
        <x:v>默认</x:v>
      </x:c>
      <x:c r="S365" s="9" t="n">
        <x:v>467</x:v>
      </x:c>
      <x:c r="T365" s="9" t="str">
        <x:v>deede8b56943df4f914be45dba170f12e69064023d6ef0e88dbde1764f6ba23e</x:v>
      </x:c>
      <x:c r="U365" s="9" t="str">
        <x:v>W_SKIRTS_AVGPAID_1500_1600_ANNUAL2026</x:v>
      </x:c>
      <x:c r="V365" s="9" t="str">
        <x:v>W_SKIRTS_AVGPAID_1500_1600_ANNUAL2026.xlsx / 默认 / 第467行 / SHA256 deede8b56943df4f914be45dba170f12e69064023d6ef0e88dbde1764f6ba23e</x:v>
      </x:c>
    </x:row>
    <x:row r="366" ht="58" customHeight="1">
      <x:c r="A366" s="23" t="str">
        <x:v>1030691188157</x:v>
      </x:c>
      <x:c r="B366" s="22"/>
      <x:c r="C366" s="22"/>
      <x:c r="D366" s="22"/>
      <x:c r="E366" s="9" t="str">
        <x:v>裙长未明确</x:v>
      </x:c>
      <x:c r="F366" s="9" t="str">
        <x:v>裙装</x:v>
      </x:c>
      <x:c r="G366" s="9" t="str">
        <x:v>半身裙</x:v>
      </x:c>
      <x:c r="H366" s="9" t="str">
        <x:v>女</x:v>
      </x:c>
      <x:c r="I366" s="9" t="str">
        <x:v>GIOVANNI VALENTINO夏季女士半身裙高腰优雅气质通勤显瘦A字裙</x:v>
      </x:c>
      <x:c r="J366" s="9" t="str">
        <x:v>GIOVANNI VALENTINO/卓凡尼·华伦天奴</x:v>
      </x:c>
      <x:c r="K366" s="24" t="n">
        <x:v>1531.61</x:v>
      </x:c>
      <x:c r="L366" s="25" t="e">
        <x:f>HYPERLINK("https://item.taobao.com/item.htm?id=1030691188157","打开商品")</x:f>
        <x:v>HYPERLINK is not implemented. linkLocation=https://item.taobao.com/item.htm?id=1030691188157, friendlyName=打开商品</x:v>
      </x:c>
      <x:c r="M366" s="25" t="e">
        <x:f>HYPERLINK("https://data.zhiyitech.cn/itemDetail/overview/base?itemId=1030691188157","打开知衣")</x:f>
        <x:v>HYPERLINK is not implemented. linkLocation=https://data.zhiyitech.cn/itemDetail/overview/base?itemId=1030691188157, friendlyName=打开知衣</x:v>
      </x:c>
      <x:c r="N366" s="25" t="e">
        <x:f>HYPERLINK("https://img.alicdn.com/bao/uploaded/i3/2208091728922/O1CN01x7g1uC2FmKpGA4pAa_!!4611686018427382810-0-item_pic.jpg","查看主图")</x:f>
        <x:v>HYPERLINK is not implemented. linkLocation=https://img.alicdn.com/bao/uploaded/i3/2208091728922/O1CN01x7g1uC2FmKpGA4pAa_!!4611686018427382810-0-item_pic.jpg, friendlyName=查看主图</x:v>
      </x:c>
      <x:c r="O366" s="9" t="str">
        <x:v>标题及既有类目语义复核；GIOVANNI VALENTINO夏季女士半身裙高腰优雅气质通勤显瘦A字裙；原类目及标题已能确认半身裙；展示使用已知大类，未知裙长下沉到结构字段，不强猜长短。</x:v>
      </x:c>
      <x:c r="P366" s="9" t="str">
        <x:v>普通男女装</x:v>
      </x:c>
      <x:c r="Q366" s="9" t="str">
        <x:v>W_SKIRTS_AVGPAID_1500_1600_ANNUAL2026.xlsx</x:v>
      </x:c>
      <x:c r="R366" s="9" t="str">
        <x:v>默认</x:v>
      </x:c>
      <x:c r="S366" s="9" t="n">
        <x:v>256</x:v>
      </x:c>
      <x:c r="T366" s="9" t="str">
        <x:v>deede8b56943df4f914be45dba170f12e69064023d6ef0e88dbde1764f6ba23e</x:v>
      </x:c>
      <x:c r="U366" s="9" t="str">
        <x:v>W_SKIRTS_AVGPAID_1500_1600_ANNUAL2026</x:v>
      </x:c>
      <x:c r="V366" s="9" t="str">
        <x:v>W_SKIRTS_AVGPAID_1500_1600_ANNUAL2026.xlsx / 默认 / 第256行 / SHA256 deede8b56943df4f914be45dba170f12e69064023d6ef0e88dbde1764f6ba23e</x:v>
      </x:c>
    </x:row>
    <x:row r="367" ht="58" customHeight="1">
      <x:c r="A367" s="23" t="str">
        <x:v>1025780096375</x:v>
      </x:c>
      <x:c r="B367" s="22"/>
      <x:c r="C367" s="22"/>
      <x:c r="D367" s="22"/>
      <x:c r="E367" s="9" t="str">
        <x:v>裙长未明确</x:v>
      </x:c>
      <x:c r="F367" s="9" t="str">
        <x:v>裙装</x:v>
      </x:c>
      <x:c r="G367" s="9" t="str">
        <x:v>半身裙</x:v>
      </x:c>
      <x:c r="H367" s="9" t="str">
        <x:v>女</x:v>
      </x:c>
      <x:c r="I367" s="9" t="str">
        <x:v>【非遗香云纱】歌莉娅真丝半身裙女夏季轻奢高级感桑蚕丝绣花裙子</x:v>
      </x:c>
      <x:c r="J367" s="9" t="str">
        <x:v>GLORIA/歌莉娅</x:v>
      </x:c>
      <x:c r="K367" s="24" t="n">
        <x:v>1356.4</x:v>
      </x:c>
      <x:c r="L367" s="25" t="e">
        <x:f>HYPERLINK("https://item.taobao.com/item.htm?id=1025780096375","打开商品")</x:f>
        <x:v>HYPERLINK is not implemented. linkLocation=https://item.taobao.com/item.htm?id=1025780096375, friendlyName=打开商品</x:v>
      </x:c>
      <x:c r="M367" s="25" t="e">
        <x:f>HYPERLINK("https://data.zhiyitech.cn/itemDetail/overview/base?itemId=1025780096375","打开知衣")</x:f>
        <x:v>HYPERLINK is not implemented. linkLocation=https://data.zhiyitech.cn/itemDetail/overview/base?itemId=1025780096375, friendlyName=打开知衣</x:v>
      </x:c>
      <x:c r="N367" s="25" t="e">
        <x:f>HYPERLINK("https://img.alicdn.com/bao/uploaded/i4/133006562/O1CN01R4XqAagTnyB3FPpA_!!4611686018427380962-0-item_pic.jpg","查看主图")</x:f>
        <x:v>HYPERLINK is not implemented. linkLocation=https://img.alicdn.com/bao/uploaded/i4/133006562/O1CN01R4XqAagTnyB3FPpA_!!4611686018427380962-0-item_pic.jpg, friendlyName=查看主图</x:v>
      </x:c>
      <x:c r="O367" s="9" t="str">
        <x:v>标题及既有类目语义复核；【非遗香云纱】歌莉娅真丝半身裙女夏季轻奢高级感桑蚕丝绣花裙子；原类目及标题已能确认半身裙；展示使用已知大类，未知裙长下沉到结构字段，不强猜长短。</x:v>
      </x:c>
      <x:c r="P367" s="9" t="str">
        <x:v>普通男女装</x:v>
      </x:c>
      <x:c r="Q367" s="9" t="str">
        <x:v>W_SKIRTS_AVGPAID_1300_1400_ANNUAL2026.xlsx</x:v>
      </x:c>
      <x:c r="R367" s="9" t="str">
        <x:v>默认</x:v>
      </x:c>
      <x:c r="S367" s="9" t="n">
        <x:v>94</x:v>
      </x:c>
      <x:c r="T367" s="9" t="str">
        <x:v>bd4dae1e08e9eca7ddd0669235bf59107cdc418b9c2898fc16f36a7ab5748692</x:v>
      </x:c>
      <x:c r="U367" s="9" t="str">
        <x:v>W_SKIRTS_AVGPAID_1300_1400_ANNUAL2026</x:v>
      </x:c>
      <x:c r="V367" s="9" t="str">
        <x:v>W_SKIRTS_AVGPAID_1300_1400_ANNUAL2026.xlsx / 默认 / 第94行 / SHA256 bd4dae1e08e9eca7ddd0669235bf59107cdc418b9c2898fc16f36a7ab5748692</x:v>
      </x:c>
    </x:row>
    <x:row r="368" ht="58" customHeight="1">
      <x:c r="A368" s="23" t="str">
        <x:v>1051098943913</x:v>
      </x:c>
      <x:c r="B368" s="22"/>
      <x:c r="C368" s="22"/>
      <x:c r="D368" s="22"/>
      <x:c r="E368" s="9" t="str">
        <x:v>裙长未明确</x:v>
      </x:c>
      <x:c r="F368" s="9" t="str">
        <x:v>裙装</x:v>
      </x:c>
      <x:c r="G368" s="9" t="str">
        <x:v>半身裙</x:v>
      </x:c>
      <x:c r="H368" s="9" t="str">
        <x:v>女</x:v>
      </x:c>
      <x:c r="I368" s="9" t="str">
        <x:v>GOLDEN BARRY26夏新款电力纺龟纹100桑蚕丝香云纱花苞半裙1011001</x:v>
      </x:c>
      <x:c r="J368" s="9" t="str">
        <x:v>GOLDEN BARRY</x:v>
      </x:c>
      <x:c r="K368" s="24" t="n">
        <x:v>1323.07</x:v>
      </x:c>
      <x:c r="L368" s="25" t="e">
        <x:f>HYPERLINK("https://item.taobao.com/item.htm?id=1051098943913","打开商品")</x:f>
        <x:v>HYPERLINK is not implemented. linkLocation=https://item.taobao.com/item.htm?id=1051098943913, friendlyName=打开商品</x:v>
      </x:c>
      <x:c r="M368" s="25" t="e">
        <x:f>HYPERLINK("https://data.zhiyitech.cn/itemDetail/overview/base?itemId=1051098943913","打开知衣")</x:f>
        <x:v>HYPERLINK is not implemented. linkLocation=https://data.zhiyitech.cn/itemDetail/overview/base?itemId=1051098943913, friendlyName=打开知衣</x:v>
      </x:c>
      <x:c r="N368" s="25" t="e">
        <x:f>HYPERLINK("https://img.alicdn.com/bao/uploaded/i4/2217894787079/O1CN01cyPN4c22AEtJdZ38A_!!4611686018427385863-0-item_pic.jpg","查看主图")</x:f>
        <x:v>HYPERLINK is not implemented. linkLocation=https://img.alicdn.com/bao/uploaded/i4/2217894787079/O1CN01cyPN4c22AEtJdZ38A_!!4611686018427385863-0-item_pic.jpg, friendlyName=查看主图</x:v>
      </x:c>
      <x:c r="O368" s="9" t="str">
        <x:v>标题及既有类目语义复核；GOLDEN BARRY26夏新款电力纺龟纹100桑蚕丝香云纱花苞半裙1011001；原类目及标题已能确认半身裙；展示使用已知大类，未知裙长下沉到结构字段，不强猜长短。</x:v>
      </x:c>
      <x:c r="P368" s="9" t="str">
        <x:v>普通男女装</x:v>
      </x:c>
      <x:c r="Q368" s="9" t="str">
        <x:v>W_SKIRTS_AVGPAID_1300_1400_ANNUAL2026.xlsx</x:v>
      </x:c>
      <x:c r="R368" s="9" t="str">
        <x:v>默认</x:v>
      </x:c>
      <x:c r="S368" s="9" t="n">
        <x:v>458</x:v>
      </x:c>
      <x:c r="T368" s="9" t="str">
        <x:v>bd4dae1e08e9eca7ddd0669235bf59107cdc418b9c2898fc16f36a7ab5748692</x:v>
      </x:c>
      <x:c r="U368" s="9" t="str">
        <x:v>W_SKIRTS_AVGPAID_1300_1400_ANNUAL2026</x:v>
      </x:c>
      <x:c r="V368" s="9" t="str">
        <x:v>W_SKIRTS_AVGPAID_1300_1400_ANNUAL2026.xlsx / 默认 / 第458行 / SHA256 bd4dae1e08e9eca7ddd0669235bf59107cdc418b9c2898fc16f36a7ab5748692</x:v>
      </x:c>
    </x:row>
    <x:row r="369" ht="58" customHeight="1">
      <x:c r="A369" s="23" t="str">
        <x:v>822790204995</x:v>
      </x:c>
      <x:c r="B369" s="22"/>
      <x:c r="C369" s="22"/>
      <x:c r="D369" s="22"/>
      <x:c r="E369" s="9" t="str">
        <x:v>裙长未明确</x:v>
      </x:c>
      <x:c r="F369" s="9" t="str">
        <x:v>裙装</x:v>
      </x:c>
      <x:c r="G369" s="9" t="str">
        <x:v>半身裙</x:v>
      </x:c>
      <x:c r="H369" s="9" t="str">
        <x:v>女</x:v>
      </x:c>
      <x:c r="I369" s="9" t="str">
        <x:v>GOLDEN BARRY金和百瑞春秋优雅时髦气质黑色百搭丝绒半身裙310105</x:v>
      </x:c>
      <x:c r="J369" s="9" t="str">
        <x:v>GOLDEN BARRY</x:v>
      </x:c>
      <x:c r="K369" s="24" t="n">
        <x:v>1310.79</x:v>
      </x:c>
      <x:c r="L369" s="25" t="e">
        <x:f>HYPERLINK("https://item.taobao.com/item.htm?id=822790204995","打开商品")</x:f>
        <x:v>HYPERLINK is not implemented. linkLocation=https://item.taobao.com/item.htm?id=822790204995, friendlyName=打开商品</x:v>
      </x:c>
      <x:c r="M369" s="25" t="e">
        <x:f>HYPERLINK("https://data.zhiyitech.cn/itemDetail/overview/base?itemId=822790204995","打开知衣")</x:f>
        <x:v>HYPERLINK is not implemented. linkLocation=https://data.zhiyitech.cn/itemDetail/overview/base?itemId=822790204995, friendlyName=打开知衣</x:v>
      </x:c>
      <x:c r="N369" s="25" t="e">
        <x:f>HYPERLINK("https://img.alicdn.com/bao/uploaded/i1/2217894787079/O1CN014lJUpjlnNxI1chua_!!2217894787079.jpg","查看主图")</x:f>
        <x:v>HYPERLINK is not implemented. linkLocation=https://img.alicdn.com/bao/uploaded/i1/2217894787079/O1CN014lJUpjlnNxI1chua_!!2217894787079.jpg, friendlyName=查看主图</x:v>
      </x:c>
      <x:c r="O369" s="9" t="str">
        <x:v>标题及既有类目语义复核；GOLDEN BARRY金和百瑞春秋优雅时髦气质黑色百搭丝绒半身裙310105；原类目及标题已能确认半身裙；展示使用已知大类，未知裙长下沉到结构字段，不强猜长短。</x:v>
      </x:c>
      <x:c r="P369" s="9" t="str">
        <x:v>普通男女装</x:v>
      </x:c>
      <x:c r="Q369" s="9" t="str">
        <x:v>W_SKIRTS_AVGPAID_1300_1400_ANNUAL2026.xlsx</x:v>
      </x:c>
      <x:c r="R369" s="9" t="str">
        <x:v>默认</x:v>
      </x:c>
      <x:c r="S369" s="9" t="n">
        <x:v>238</x:v>
      </x:c>
      <x:c r="T369" s="9" t="str">
        <x:v>bd4dae1e08e9eca7ddd0669235bf59107cdc418b9c2898fc16f36a7ab5748692</x:v>
      </x:c>
      <x:c r="U369" s="9" t="str">
        <x:v>W_SKIRTS_AVGPAID_1300_1400_ANNUAL2026</x:v>
      </x:c>
      <x:c r="V369" s="9" t="str">
        <x:v>W_SKIRTS_AVGPAID_1300_1400_ANNUAL2026.xlsx / 默认 / 第238行 / SHA256 bd4dae1e08e9eca7ddd0669235bf59107cdc418b9c2898fc16f36a7ab5748692</x:v>
      </x:c>
    </x:row>
    <x:row r="370" ht="58" customHeight="1">
      <x:c r="A370" s="23" t="str">
        <x:v>986697028334</x:v>
      </x:c>
      <x:c r="B370" s="22"/>
      <x:c r="C370" s="22"/>
      <x:c r="D370" s="22"/>
      <x:c r="E370" s="9" t="str">
        <x:v>裙长未明确</x:v>
      </x:c>
      <x:c r="F370" s="9" t="str">
        <x:v>裙装</x:v>
      </x:c>
      <x:c r="G370" s="9" t="str">
        <x:v>半身裙</x:v>
      </x:c>
      <x:c r="H370" s="9" t="str">
        <x:v>女</x:v>
      </x:c>
      <x:c r="I370" s="9" t="str">
        <x:v>【格雷系】GOLDEN BARRY春夏经典气质羊毛A字百褶半身裙311298</x:v>
      </x:c>
      <x:c r="J370" s="9" t="str">
        <x:v>GOLDEN BARRY</x:v>
      </x:c>
      <x:c r="K370" s="24" t="n">
        <x:v>1336.08</x:v>
      </x:c>
      <x:c r="L370" s="25" t="e">
        <x:f>HYPERLINK("https://item.taobao.com/item.htm?id=986697028334","打开商品")</x:f>
        <x:v>HYPERLINK is not implemented. linkLocation=https://item.taobao.com/item.htm?id=986697028334, friendlyName=打开商品</x:v>
      </x:c>
      <x:c r="M370" s="25" t="e">
        <x:f>HYPERLINK("https://data.zhiyitech.cn/itemDetail/overview/base?itemId=986697028334","打开知衣")</x:f>
        <x:v>HYPERLINK is not implemented. linkLocation=https://data.zhiyitech.cn/itemDetail/overview/base?itemId=986697028334, friendlyName=打开知衣</x:v>
      </x:c>
      <x:c r="N370" s="25" t="e">
        <x:f>HYPERLINK("https://img.alicdn.com/bao/uploaded/i3/2217894787079/O1CN01540J4uFEqBL2vH2e_!!2217894787079.jpg","查看主图")</x:f>
        <x:v>HYPERLINK is not implemented. linkLocation=https://img.alicdn.com/bao/uploaded/i3/2217894787079/O1CN01540J4uFEqBL2vH2e_!!2217894787079.jpg, friendlyName=查看主图</x:v>
      </x:c>
      <x:c r="O370" s="9" t="str">
        <x:v>标题及既有类目语义复核；【格雷系】GOLDEN BARRY春夏经典气质羊毛A字百褶半身裙311298；原类目及标题已能确认半身裙；展示使用已知大类，未知裙长下沉到结构字段，不强猜长短。</x:v>
      </x:c>
      <x:c r="P370" s="9" t="str">
        <x:v>普通男女装</x:v>
      </x:c>
      <x:c r="Q370" s="9" t="str">
        <x:v>W_SKIRTS_AVGPAID_1300_1400_ANNUAL2026.xlsx</x:v>
      </x:c>
      <x:c r="R370" s="9" t="str">
        <x:v>默认</x:v>
      </x:c>
      <x:c r="S370" s="9" t="n">
        <x:v>255</x:v>
      </x:c>
      <x:c r="T370" s="9" t="str">
        <x:v>bd4dae1e08e9eca7ddd0669235bf59107cdc418b9c2898fc16f36a7ab5748692</x:v>
      </x:c>
      <x:c r="U370" s="9" t="str">
        <x:v>W_SKIRTS_AVGPAID_1300_1400_ANNUAL2026</x:v>
      </x:c>
      <x:c r="V370" s="9" t="str">
        <x:v>W_SKIRTS_AVGPAID_1300_1400_ANNUAL2026.xlsx / 默认 / 第255行 / SHA256 bd4dae1e08e9eca7ddd0669235bf59107cdc418b9c2898fc16f36a7ab5748692</x:v>
      </x:c>
    </x:row>
    <x:row r="371" ht="58" customHeight="1">
      <x:c r="A371" s="23" t="str">
        <x:v>1002479108507</x:v>
      </x:c>
      <x:c r="B371" s="22"/>
      <x:c r="C371" s="22"/>
      <x:c r="D371" s="22"/>
      <x:c r="E371" s="9" t="str">
        <x:v>裙长未明确</x:v>
      </x:c>
      <x:c r="F371" s="9" t="str">
        <x:v>裙装</x:v>
      </x:c>
      <x:c r="G371" s="9" t="str">
        <x:v>半身裙</x:v>
      </x:c>
      <x:c r="H371" s="9" t="str">
        <x:v>女</x:v>
      </x:c>
      <x:c r="I371" s="9" t="str">
        <x:v>hanaa新款羊毛后开叉立体半身裙</x:v>
      </x:c>
      <x:c r="J371" s="9" t="str">
        <x:v>HANAA</x:v>
      </x:c>
      <x:c r="K371" s="24" t="n">
        <x:v>1707.68</x:v>
      </x:c>
      <x:c r="L371" s="25" t="e">
        <x:f>HYPERLINK("https://item.taobao.com/item.htm?id=1002479108507","打开商品")</x:f>
        <x:v>HYPERLINK is not implemented. linkLocation=https://item.taobao.com/item.htm?id=1002479108507, friendlyName=打开商品</x:v>
      </x:c>
      <x:c r="M371" s="25" t="e">
        <x:f>HYPERLINK("https://data.zhiyitech.cn/itemDetail/overview/base?itemId=1002479108507","打开知衣")</x:f>
        <x:v>HYPERLINK is not implemented. linkLocation=https://data.zhiyitech.cn/itemDetail/overview/base?itemId=1002479108507, friendlyName=打开知衣</x:v>
      </x:c>
      <x:c r="N371" s="25" t="e">
        <x:f>HYPERLINK("https://img.alicdn.com/bao/uploaded/i4/2212955791033/O1CN01EjVSqJ1JVAFJtX1Ip_!!4611686018427387577-0-item_pic.jpg","查看主图")</x:f>
        <x:v>HYPERLINK is not implemented. linkLocation=https://img.alicdn.com/bao/uploaded/i4/2212955791033/O1CN01EjVSqJ1JVAFJtX1Ip_!!4611686018427387577-0-item_pic.jpg, friendlyName=查看主图</x:v>
      </x:c>
      <x:c r="O371" s="9" t="str">
        <x:v>标题及既有类目语义复核；hanaa新款羊毛后开叉立体半身裙；原类目及标题已能确认半身裙；展示使用已知大类，未知裙长下沉到结构字段，不强猜长短。</x:v>
      </x:c>
      <x:c r="P371" s="9" t="str">
        <x:v>普通男女装</x:v>
      </x:c>
      <x:c r="Q371" s="9" t="str">
        <x:v>W_SKIRTS_AVGPAID_1700_1800_ANNUAL2026.xlsx</x:v>
      </x:c>
      <x:c r="R371" s="9" t="str">
        <x:v>默认</x:v>
      </x:c>
      <x:c r="S371" s="9" t="n">
        <x:v>274</x:v>
      </x:c>
      <x:c r="T371" s="9" t="str">
        <x:v>c25ed77c53c7c5cfcf728778a0e9b297d8689503f62756a939cbd534ca9b587a</x:v>
      </x:c>
      <x:c r="U371" s="9" t="str">
        <x:v>W_SKIRTS_AVGPAID_1700_1800_ANNUAL2026</x:v>
      </x:c>
      <x:c r="V371" s="9" t="str">
        <x:v>W_SKIRTS_AVGPAID_1700_1800_ANNUAL2026.xlsx / 默认 / 第274行 / SHA256 c25ed77c53c7c5cfcf728778a0e9b297d8689503f62756a939cbd534ca9b587a</x:v>
      </x:c>
    </x:row>
    <x:row r="372" ht="58" customHeight="1">
      <x:c r="A372" s="23" t="str">
        <x:v>1076036948048</x:v>
      </x:c>
      <x:c r="B372" s="22"/>
      <x:c r="C372" s="22"/>
      <x:c r="D372" s="22"/>
      <x:c r="E372" s="9" t="str">
        <x:v>裙长未明确</x:v>
      </x:c>
      <x:c r="F372" s="9" t="str">
        <x:v>裙装</x:v>
      </x:c>
      <x:c r="G372" s="9" t="str">
        <x:v>半身裙</x:v>
      </x:c>
      <x:c r="H372" s="9" t="str">
        <x:v>女</x:v>
      </x:c>
      <x:c r="I372" s="9" t="str">
        <x:v>【商场同款】Hazzys哈吉斯26秋季新品女士裙子休闲灯芯绒半身裙</x:v>
      </x:c>
      <x:c r="J372" s="9" t="str">
        <x:v>HAZZYS</x:v>
      </x:c>
      <x:c r="K372" s="24" t="n">
        <x:v>1387.61</x:v>
      </x:c>
      <x:c r="L372" s="25" t="e">
        <x:f>HYPERLINK("https://item.taobao.com/item.htm?id=1076036948048","打开商品")</x:f>
        <x:v>HYPERLINK is not implemented. linkLocation=https://item.taobao.com/item.htm?id=1076036948048, friendlyName=打开商品</x:v>
      </x:c>
      <x:c r="M372" s="25" t="e">
        <x:f>HYPERLINK("https://data.zhiyitech.cn/itemDetail/overview/base?itemId=1076036948048","打开知衣")</x:f>
        <x:v>HYPERLINK is not implemented. linkLocation=https://data.zhiyitech.cn/itemDetail/overview/base?itemId=1076036948048, friendlyName=打开知衣</x:v>
      </x:c>
      <x:c r="N372" s="25" t="e">
        <x:f>HYPERLINK("https://img.alicdn.com/bao/uploaded/i1/1910887896/O1CN01YhoV9yBOL4J2vH2e_!!1910887896.jpg","查看主图")</x:f>
        <x:v>HYPERLINK is not implemented. linkLocation=https://img.alicdn.com/bao/uploaded/i1/1910887896/O1CN01YhoV9yBOL4J2vH2e_!!1910887896.jpg, friendlyName=查看主图</x:v>
      </x:c>
      <x:c r="O372" s="9" t="str">
        <x:v>标题及既有类目语义复核；【商场同款】Hazzys哈吉斯26秋季新品女士裙子休闲灯芯绒半身裙；原类目及标题已能确认半身裙；展示使用已知大类，未知裙长下沉到结构字段，不强猜长短。</x:v>
      </x:c>
      <x:c r="P372" s="9" t="str">
        <x:v>普通男女装</x:v>
      </x:c>
      <x:c r="Q372" s="9" t="str">
        <x:v>W_SKIRTS_AVGPAID_1300_1400_ANNUAL2026.xlsx</x:v>
      </x:c>
      <x:c r="R372" s="9" t="str">
        <x:v>默认</x:v>
      </x:c>
      <x:c r="S372" s="9" t="n">
        <x:v>408</x:v>
      </x:c>
      <x:c r="T372" s="9" t="str">
        <x:v>bd4dae1e08e9eca7ddd0669235bf59107cdc418b9c2898fc16f36a7ab5748692</x:v>
      </x:c>
      <x:c r="U372" s="9" t="str">
        <x:v>W_SKIRTS_AVGPAID_1300_1400_ANNUAL2026</x:v>
      </x:c>
      <x:c r="V372" s="9" t="str">
        <x:v>W_SKIRTS_AVGPAID_1300_1400_ANNUAL2026.xlsx / 默认 / 第408行 / SHA256 bd4dae1e08e9eca7ddd0669235bf59107cdc418b9c2898fc16f36a7ab5748692</x:v>
      </x:c>
    </x:row>
    <x:row r="373" ht="58" customHeight="1">
      <x:c r="A373" s="23" t="str">
        <x:v>1011545256721</x:v>
      </x:c>
      <x:c r="B373" s="22"/>
      <x:c r="C373" s="22"/>
      <x:c r="D373" s="22"/>
      <x:c r="E373" s="9" t="str">
        <x:v>裙长未明确</x:v>
      </x:c>
      <x:c r="F373" s="9" t="str">
        <x:v>裙装</x:v>
      </x:c>
      <x:c r="G373" s="9" t="str">
        <x:v>半身裙</x:v>
      </x:c>
      <x:c r="H373" s="9" t="str">
        <x:v>女</x:v>
      </x:c>
      <x:c r="I373" s="9" t="str">
        <x:v>百褶裙半身裙蝴蝶结可拆卸年春夏</x:v>
      </x:c>
      <x:c r="J373" s="9" t="str">
        <x:v>HERLIAN</x:v>
      </x:c>
      <x:c r="K373" s="24" t="n">
        <x:v>1326.4</x:v>
      </x:c>
      <x:c r="L373" s="25" t="e">
        <x:f>HYPERLINK("https://item.taobao.com/item.htm?id=1011545256721","打开商品")</x:f>
        <x:v>HYPERLINK is not implemented. linkLocation=https://item.taobao.com/item.htm?id=1011545256721, friendlyName=打开商品</x:v>
      </x:c>
      <x:c r="M373" s="25" t="e">
        <x:f>HYPERLINK("https://data.zhiyitech.cn/itemDetail/overview/base?itemId=1011545256721","打开知衣")</x:f>
        <x:v>HYPERLINK is not implemented. linkLocation=https://data.zhiyitech.cn/itemDetail/overview/base?itemId=1011545256721, friendlyName=打开知衣</x:v>
      </x:c>
      <x:c r="N373" s="25" t="e">
        <x:f>HYPERLINK("https://img.alicdn.com/bao/uploaded/i3/2212518979409/O1CN01muEtcO2JNNhQSYGvr_!!4611686018427381585-0-item_pic.jpg","查看主图")</x:f>
        <x:v>HYPERLINK is not implemented. linkLocation=https://img.alicdn.com/bao/uploaded/i3/2212518979409/O1CN01muEtcO2JNNhQSYGvr_!!4611686018427381585-0-item_pic.jpg, friendlyName=查看主图</x:v>
      </x:c>
      <x:c r="O373" s="9" t="str">
        <x:v>标题及既有类目语义复核；百褶裙半身裙蝴蝶结可拆卸年春夏；原类目及标题已能确认半身裙；展示使用已知大类，未知裙长下沉到结构字段，不强猜长短。</x:v>
      </x:c>
      <x:c r="P373" s="9" t="str">
        <x:v>普通男女装</x:v>
      </x:c>
      <x:c r="Q373" s="9" t="str">
        <x:v>W_SKIRTS_AVGPAID_1300_1400_ANNUAL2026.xlsx</x:v>
      </x:c>
      <x:c r="R373" s="9" t="str">
        <x:v>默认</x:v>
      </x:c>
      <x:c r="S373" s="9" t="n">
        <x:v>457</x:v>
      </x:c>
      <x:c r="T373" s="9" t="str">
        <x:v>bd4dae1e08e9eca7ddd0669235bf59107cdc418b9c2898fc16f36a7ab5748692</x:v>
      </x:c>
      <x:c r="U373" s="9" t="str">
        <x:v>W_SKIRTS_AVGPAID_1300_1400_ANNUAL2026</x:v>
      </x:c>
      <x:c r="V373" s="9" t="str">
        <x:v>W_SKIRTS_AVGPAID_1300_1400_ANNUAL2026.xlsx / 默认 / 第457行 / SHA256 bd4dae1e08e9eca7ddd0669235bf59107cdc418b9c2898fc16f36a7ab5748692</x:v>
      </x:c>
    </x:row>
    <x:row r="374" ht="58" customHeight="1">
      <x:c r="A374" s="23" t="str">
        <x:v>1062671815902</x:v>
      </x:c>
      <x:c r="B374" s="22"/>
      <x:c r="C374" s="22"/>
      <x:c r="D374" s="22"/>
      <x:c r="E374" s="9" t="str">
        <x:v>裙长未明确</x:v>
      </x:c>
      <x:c r="F374" s="9" t="str">
        <x:v>裙装</x:v>
      </x:c>
      <x:c r="G374" s="9" t="str">
        <x:v>半身裙</x:v>
      </x:c>
      <x:c r="H374" s="9" t="str">
        <x:v>女</x:v>
      </x:c>
      <x:c r="I374" s="9" t="str">
        <x:v>HERLIAN秋季碎花蛋糕半身裙</x:v>
      </x:c>
      <x:c r="J374" s="9" t="str">
        <x:v>HERLIAN</x:v>
      </x:c>
      <x:c r="K374" s="24" t="n">
        <x:v>1586.07</x:v>
      </x:c>
      <x:c r="L374" s="25" t="e">
        <x:f>HYPERLINK("https://item.taobao.com/item.htm?id=1062671815902","打开商品")</x:f>
        <x:v>HYPERLINK is not implemented. linkLocation=https://item.taobao.com/item.htm?id=1062671815902, friendlyName=打开商品</x:v>
      </x:c>
      <x:c r="M374" s="25" t="e">
        <x:f>HYPERLINK("https://data.zhiyitech.cn/itemDetail/overview/base?itemId=1062671815902","打开知衣")</x:f>
        <x:v>HYPERLINK is not implemented. linkLocation=https://data.zhiyitech.cn/itemDetail/overview/base?itemId=1062671815902, friendlyName=打开知衣</x:v>
      </x:c>
      <x:c r="N374" s="25" t="e">
        <x:f>HYPERLINK("https://img.alicdn.com/bao/uploaded/i3/2212518979409/O1CN01vjqhAw2JNNjmZahyz_!!4611686018427381585-0-item_pic.jpg","查看主图")</x:f>
        <x:v>HYPERLINK is not implemented. linkLocation=https://img.alicdn.com/bao/uploaded/i3/2212518979409/O1CN01vjqhAw2JNNjmZahyz_!!4611686018427381585-0-item_pic.jpg, friendlyName=查看主图</x:v>
      </x:c>
      <x:c r="O374" s="9" t="str">
        <x:v>标题及既有类目语义复核；HERLIAN秋季碎花蛋糕半身裙；原类目及标题已能确认半身裙；展示使用已知大类，未知裙长下沉到结构字段，不强猜长短。</x:v>
      </x:c>
      <x:c r="P374" s="9" t="str">
        <x:v>普通男女装</x:v>
      </x:c>
      <x:c r="Q374" s="9" t="str">
        <x:v>W_SKIRTS_AVGPAID_1500_1600_ANNUAL2026.xlsx</x:v>
      </x:c>
      <x:c r="R374" s="9" t="str">
        <x:v>默认</x:v>
      </x:c>
      <x:c r="S374" s="9" t="n">
        <x:v>415</x:v>
      </x:c>
      <x:c r="T374" s="9" t="str">
        <x:v>deede8b56943df4f914be45dba170f12e69064023d6ef0e88dbde1764f6ba23e</x:v>
      </x:c>
      <x:c r="U374" s="9" t="str">
        <x:v>W_SKIRTS_AVGPAID_1500_1600_ANNUAL2026</x:v>
      </x:c>
      <x:c r="V374" s="9" t="str">
        <x:v>W_SKIRTS_AVGPAID_1500_1600_ANNUAL2026.xlsx / 默认 / 第415行 / SHA256 deede8b56943df4f914be45dba170f12e69064023d6ef0e88dbde1764f6ba23e</x:v>
      </x:c>
    </x:row>
    <x:row r="375" ht="58" customHeight="1">
      <x:c r="A375" s="23" t="str">
        <x:v>1079759705556</x:v>
      </x:c>
      <x:c r="B375" s="22"/>
      <x:c r="C375" s="22"/>
      <x:c r="D375" s="22"/>
      <x:c r="E375" s="9" t="str">
        <x:v>裙长未明确</x:v>
      </x:c>
      <x:c r="F375" s="9" t="str">
        <x:v>裙装</x:v>
      </x:c>
      <x:c r="G375" s="9" t="str">
        <x:v>半身裙</x:v>
      </x:c>
      <x:c r="H375" s="9" t="str">
        <x:v>女</x:v>
      </x:c>
      <x:c r="I375" s="9" t="str">
        <x:v>HERLIAN2026年秋季新品复古学院风抽绳百褶裙气质风女短半裙MIU系</x:v>
      </x:c>
      <x:c r="J375" s="9" t="str">
        <x:v>HERLIAN</x:v>
      </x:c>
      <x:c r="K375" s="24" t="n">
        <x:v>1385.53</x:v>
      </x:c>
      <x:c r="L375" s="25" t="e">
        <x:f>HYPERLINK("https://item.taobao.com/item.htm?id=1079759705556","打开商品")</x:f>
        <x:v>HYPERLINK is not implemented. linkLocation=https://item.taobao.com/item.htm?id=1079759705556, friendlyName=打开商品</x:v>
      </x:c>
      <x:c r="M375" s="25" t="e">
        <x:f>HYPERLINK("https://data.zhiyitech.cn/itemDetail/overview/base?itemId=1079759705556","打开知衣")</x:f>
        <x:v>HYPERLINK is not implemented. linkLocation=https://data.zhiyitech.cn/itemDetail/overview/base?itemId=1079759705556, friendlyName=打开知衣</x:v>
      </x:c>
      <x:c r="N375" s="25" t="e">
        <x:f>HYPERLINK("https://img.alicdn.com/bao/uploaded/i2/2212518979409/O1CN01q8BKTL3t9TC2vH2e_!!4611686018427381585-0-item_pic.jpg","查看主图")</x:f>
        <x:v>HYPERLINK is not implemented. linkLocation=https://img.alicdn.com/bao/uploaded/i2/2212518979409/O1CN01q8BKTL3t9TC2vH2e_!!4611686018427381585-0-item_pic.jpg, friendlyName=查看主图</x:v>
      </x:c>
      <x:c r="O375" s="9" t="str">
        <x:v>标题及既有类目语义复核；HERLIAN2026年秋季新品复古学院风抽绳百褶裙气质风女短半裙MIU系；原类目及标题已能确认半身裙；展示使用已知大类，未知裙长下沉到结构字段，不强猜长短。</x:v>
      </x:c>
      <x:c r="P375" s="9" t="str">
        <x:v>普通男女装</x:v>
      </x:c>
      <x:c r="Q375" s="9" t="str">
        <x:v>W_SKIRTS_AVGPAID_1300_1400_ANNUAL2026.xlsx</x:v>
      </x:c>
      <x:c r="R375" s="9" t="str">
        <x:v>默认</x:v>
      </x:c>
      <x:c r="S375" s="9" t="n">
        <x:v>495</x:v>
      </x:c>
      <x:c r="T375" s="9" t="str">
        <x:v>bd4dae1e08e9eca7ddd0669235bf59107cdc418b9c2898fc16f36a7ab5748692</x:v>
      </x:c>
      <x:c r="U375" s="9" t="str">
        <x:v>W_SKIRTS_AVGPAID_1300_1400_ANNUAL2026</x:v>
      </x:c>
      <x:c r="V375" s="9" t="str">
        <x:v>W_SKIRTS_AVGPAID_1300_1400_ANNUAL2026.xlsx / 默认 / 第495行 / SHA256 bd4dae1e08e9eca7ddd0669235bf59107cdc418b9c2898fc16f36a7ab5748692</x:v>
      </x:c>
    </x:row>
    <x:row r="376" ht="58" customHeight="1">
      <x:c r="A376" s="23" t="str">
        <x:v>981548033592</x:v>
      </x:c>
      <x:c r="B376" s="22"/>
      <x:c r="C376" s="22"/>
      <x:c r="D376" s="22"/>
      <x:c r="E376" s="9" t="str">
        <x:v>裙长未明确</x:v>
      </x:c>
      <x:c r="F376" s="9" t="str">
        <x:v>裙装</x:v>
      </x:c>
      <x:c r="G376" s="9" t="str">
        <x:v>半身裙</x:v>
      </x:c>
      <x:c r="H376" s="9" t="str">
        <x:v>女</x:v>
      </x:c>
      <x:c r="I376" s="9" t="str">
        <x:v>Herlian秋冬新品复古英伦格子加厚女毛呢百褶裙</x:v>
      </x:c>
      <x:c r="J376" s="9" t="str">
        <x:v>HERLIAN</x:v>
      </x:c>
      <x:c r="K376" s="24" t="n">
        <x:v>1516.04</x:v>
      </x:c>
      <x:c r="L376" s="25" t="e">
        <x:f>HYPERLINK("https://item.taobao.com/item.htm?id=981548033592","打开商品")</x:f>
        <x:v>HYPERLINK is not implemented. linkLocation=https://item.taobao.com/item.htm?id=981548033592, friendlyName=打开商品</x:v>
      </x:c>
      <x:c r="M376" s="25" t="e">
        <x:f>HYPERLINK("https://data.zhiyitech.cn/itemDetail/overview/base?itemId=981548033592","打开知衣")</x:f>
        <x:v>HYPERLINK is not implemented. linkLocation=https://data.zhiyitech.cn/itemDetail/overview/base?itemId=981548033592, friendlyName=打开知衣</x:v>
      </x:c>
      <x:c r="N376" s="25" t="e">
        <x:f>HYPERLINK("https://img.alicdn.com/bao/uploaded/i3/2212518979409/O1CN01vPoRWj2JNNgkzsOMu_!!4611686018427381585-0-item_pic.jpg","查看主图")</x:f>
        <x:v>HYPERLINK is not implemented. linkLocation=https://img.alicdn.com/bao/uploaded/i3/2212518979409/O1CN01vPoRWj2JNNgkzsOMu_!!4611686018427381585-0-item_pic.jpg, friendlyName=查看主图</x:v>
      </x:c>
      <x:c r="O376" s="9" t="str">
        <x:v>标题及既有类目语义复核；Herlian秋冬新品复古英伦格子加厚女毛呢百褶裙；原类目及标题已能确认半身裙；展示使用已知大类，未知裙长下沉到结构字段，不强猜长短。</x:v>
      </x:c>
      <x:c r="P376" s="9" t="str">
        <x:v>普通男女装</x:v>
      </x:c>
      <x:c r="Q376" s="9" t="str">
        <x:v>W_SKIRTS_AVGPAID_1500_1600_ANNUAL2026.xlsx</x:v>
      </x:c>
      <x:c r="R376" s="9" t="str">
        <x:v>默认</x:v>
      </x:c>
      <x:c r="S376" s="9" t="n">
        <x:v>43</x:v>
      </x:c>
      <x:c r="T376" s="9" t="str">
        <x:v>deede8b56943df4f914be45dba170f12e69064023d6ef0e88dbde1764f6ba23e</x:v>
      </x:c>
      <x:c r="U376" s="9" t="str">
        <x:v>W_SKIRTS_AVGPAID_1500_1600_ANNUAL2026</x:v>
      </x:c>
      <x:c r="V376" s="9" t="str">
        <x:v>W_SKIRTS_AVGPAID_1500_1600_ANNUAL2026.xlsx / 默认 / 第43行 / SHA256 deede8b56943df4f914be45dba170f12e69064023d6ef0e88dbde1764f6ba23e</x:v>
      </x:c>
    </x:row>
    <x:row r="377" ht="58" customHeight="1">
      <x:c r="A377" s="23" t="str">
        <x:v>907948418198</x:v>
      </x:c>
      <x:c r="B377" s="22"/>
      <x:c r="C377" s="22"/>
      <x:c r="D377" s="22"/>
      <x:c r="E377" s="9" t="str">
        <x:v>裙长未明确</x:v>
      </x:c>
      <x:c r="F377" s="9" t="str">
        <x:v>裙装</x:v>
      </x:c>
      <x:c r="G377" s="9" t="str">
        <x:v>半身裙</x:v>
      </x:c>
      <x:c r="H377" s="9" t="str">
        <x:v>女</x:v>
      </x:c>
      <x:c r="I377" s="9" t="str">
        <x:v>HIDEMI 极简珠光艺术感进口再生醋酯纤维纱线拼接百褶显瘦半身裙</x:v>
      </x:c>
      <x:c r="J377" s="9" t="str">
        <x:v>HIDEMI</x:v>
      </x:c>
      <x:c r="K377" s="24" t="n">
        <x:v>1310.46</x:v>
      </x:c>
      <x:c r="L377" s="25" t="e">
        <x:f>HYPERLINK("https://item.taobao.com/item.htm?id=907948418198","打开商品")</x:f>
        <x:v>HYPERLINK is not implemented. linkLocation=https://item.taobao.com/item.htm?id=907948418198, friendlyName=打开商品</x:v>
      </x:c>
      <x:c r="M377" s="25" t="e">
        <x:f>HYPERLINK("https://data.zhiyitech.cn/itemDetail/overview/base?itemId=907948418198","打开知衣")</x:f>
        <x:v>HYPERLINK is not implemented. linkLocation=https://data.zhiyitech.cn/itemDetail/overview/base?itemId=907948418198, friendlyName=打开知衣</x:v>
      </x:c>
      <x:c r="N377" s="25" t="e">
        <x:f>HYPERLINK("https://img.alicdn.com/bao/uploaded/i1/2210473955537/O1CN01PMx9ni1qm03zGSlQu_!!4611686018427384017-0-item_pic.jpg","查看主图")</x:f>
        <x:v>HYPERLINK is not implemented. linkLocation=https://img.alicdn.com/bao/uploaded/i1/2210473955537/O1CN01PMx9ni1qm03zGSlQu_!!4611686018427384017-0-item_pic.jpg, friendlyName=查看主图</x:v>
      </x:c>
      <x:c r="O377" s="9" t="str">
        <x:v>标题及既有类目语义复核；HIDEMI 极简珠光艺术感进口再生醋酯纤维纱线拼接百褶显瘦半身裙；原类目及标题已能确认半身裙；展示使用已知大类，未知裙长下沉到结构字段，不强猜长短。</x:v>
      </x:c>
      <x:c r="P377" s="9" t="str">
        <x:v>普通男女装</x:v>
      </x:c>
      <x:c r="Q377" s="9" t="str">
        <x:v>W_SKIRTS_AVGPAID_1300_1400_ANNUAL2026.xlsx</x:v>
      </x:c>
      <x:c r="R377" s="9" t="str">
        <x:v>默认</x:v>
      </x:c>
      <x:c r="S377" s="9" t="n">
        <x:v>439</x:v>
      </x:c>
      <x:c r="T377" s="9" t="str">
        <x:v>bd4dae1e08e9eca7ddd0669235bf59107cdc418b9c2898fc16f36a7ab5748692</x:v>
      </x:c>
      <x:c r="U377" s="9" t="str">
        <x:v>W_SKIRTS_AVGPAID_1300_1400_ANNUAL2026</x:v>
      </x:c>
      <x:c r="V377" s="9" t="str">
        <x:v>W_SKIRTS_AVGPAID_1300_1400_ANNUAL2026.xlsx / 默认 / 第439行 / SHA256 bd4dae1e08e9eca7ddd0669235bf59107cdc418b9c2898fc16f36a7ab5748692</x:v>
      </x:c>
    </x:row>
    <x:row r="378" ht="58" customHeight="1">
      <x:c r="A378" s="23" t="str">
        <x:v>1039805851856</x:v>
      </x:c>
      <x:c r="B378" s="22"/>
      <x:c r="C378" s="22"/>
      <x:c r="D378" s="22"/>
      <x:c r="E378" s="9" t="str">
        <x:v>裙长未明确</x:v>
      </x:c>
      <x:c r="F378" s="9" t="str">
        <x:v>裙装</x:v>
      </x:c>
      <x:c r="G378" s="9" t="str">
        <x:v>半身裙</x:v>
      </x:c>
      <x:c r="H378" s="9" t="str">
        <x:v>女</x:v>
      </x:c>
      <x:c r="I378" s="9" t="str">
        <x:v>ICE DUST 真丝波点醋酸半身裙女</x:v>
      </x:c>
      <x:c r="J378" s="9" t="str">
        <x:v>ICE DUST</x:v>
      </x:c>
      <x:c r="K378" s="24" t="n">
        <x:v>1745.01</x:v>
      </x:c>
      <x:c r="L378" s="25" t="e">
        <x:f>HYPERLINK("https://item.taobao.com/item.htm?id=1039805851856","打开商品")</x:f>
        <x:v>HYPERLINK is not implemented. linkLocation=https://item.taobao.com/item.htm?id=1039805851856, friendlyName=打开商品</x:v>
      </x:c>
      <x:c r="M378" s="25" t="e">
        <x:f>HYPERLINK("https://data.zhiyitech.cn/itemDetail/overview/base?itemId=1039805851856","打开知衣")</x:f>
        <x:v>HYPERLINK is not implemented. linkLocation=https://data.zhiyitech.cn/itemDetail/overview/base?itemId=1039805851856, friendlyName=打开知衣</x:v>
      </x:c>
      <x:c r="N378" s="25" t="e">
        <x:f>HYPERLINK("https://img.alicdn.com/bao/uploaded/i1/2215195956945/O1CN01wa79mw21AroGDMFYb_!!4611686018427385553-0-item_pic.jpg","查看主图")</x:f>
        <x:v>HYPERLINK is not implemented. linkLocation=https://img.alicdn.com/bao/uploaded/i1/2215195956945/O1CN01wa79mw21AroGDMFYb_!!4611686018427385553-0-item_pic.jpg, friendlyName=查看主图</x:v>
      </x:c>
      <x:c r="O378" s="9" t="str">
        <x:v>标题及既有类目语义复核；ICE DUST 真丝波点醋酸半身裙女；原类目及标题已能确认半身裙；展示使用已知大类，未知裙长下沉到结构字段，不强猜长短。</x:v>
      </x:c>
      <x:c r="P378" s="9" t="str">
        <x:v>普通男女装</x:v>
      </x:c>
      <x:c r="Q378" s="9" t="str">
        <x:v>W_SKIRTS_AVGPAID_1700_1800_ANNUAL2026.xlsx</x:v>
      </x:c>
      <x:c r="R378" s="9" t="str">
        <x:v>默认</x:v>
      </x:c>
      <x:c r="S378" s="9" t="n">
        <x:v>342</x:v>
      </x:c>
      <x:c r="T378" s="9" t="str">
        <x:v>c25ed77c53c7c5cfcf728778a0e9b297d8689503f62756a939cbd534ca9b587a</x:v>
      </x:c>
      <x:c r="U378" s="9" t="str">
        <x:v>W_SKIRTS_AVGPAID_1700_1800_ANNUAL2026</x:v>
      </x:c>
      <x:c r="V378" s="9" t="str">
        <x:v>W_SKIRTS_AVGPAID_1700_1800_ANNUAL2026.xlsx / 默认 / 第342行 / SHA256 c25ed77c53c7c5cfcf728778a0e9b297d8689503f62756a939cbd534ca9b587a</x:v>
      </x:c>
    </x:row>
    <x:row r="379" ht="58" customHeight="1">
      <x:c r="A379" s="23" t="str">
        <x:v>1042341708862</x:v>
      </x:c>
      <x:c r="B379" s="22"/>
      <x:c r="C379" s="22"/>
      <x:c r="D379" s="22"/>
      <x:c r="E379" s="9" t="str">
        <x:v>裙长未明确</x:v>
      </x:c>
      <x:c r="F379" s="9" t="str">
        <x:v>裙装</x:v>
      </x:c>
      <x:c r="G379" s="9" t="str">
        <x:v>半身裙</x:v>
      </x:c>
      <x:c r="H379" s="9" t="str">
        <x:v>女</x:v>
      </x:c>
      <x:c r="I379" s="9" t="str">
        <x:v>ICE DUST 钩花镂空串珠半裙</x:v>
      </x:c>
      <x:c r="J379" s="9" t="str">
        <x:v>ICE DUST</x:v>
      </x:c>
      <x:c r="K379" s="24" t="n">
        <x:v>1737.83</x:v>
      </x:c>
      <x:c r="L379" s="25" t="e">
        <x:f>HYPERLINK("https://item.taobao.com/item.htm?id=1042341708862","打开商品")</x:f>
        <x:v>HYPERLINK is not implemented. linkLocation=https://item.taobao.com/item.htm?id=1042341708862, friendlyName=打开商品</x:v>
      </x:c>
      <x:c r="M379" s="25" t="e">
        <x:f>HYPERLINK("https://data.zhiyitech.cn/itemDetail/overview/base?itemId=1042341708862","打开知衣")</x:f>
        <x:v>HYPERLINK is not implemented. linkLocation=https://data.zhiyitech.cn/itemDetail/overview/base?itemId=1042341708862, friendlyName=打开知衣</x:v>
      </x:c>
      <x:c r="N379" s="25" t="e">
        <x:f>HYPERLINK("https://img.alicdn.com/bao/uploaded/i1/2215195956945/O1CN01DmYQ7sOw8TF2vH2e_!!2215195956945.jpg","查看主图")</x:f>
        <x:v>HYPERLINK is not implemented. linkLocation=https://img.alicdn.com/bao/uploaded/i1/2215195956945/O1CN01DmYQ7sOw8TF2vH2e_!!2215195956945.jpg, friendlyName=查看主图</x:v>
      </x:c>
      <x:c r="O379" s="9" t="str">
        <x:v>标题及既有类目语义复核；ICE DUST 钩花镂空串珠半裙；原类目及标题已能确认半身裙；展示使用已知大类，未知裙长下沉到结构字段，不强猜长短。</x:v>
      </x:c>
      <x:c r="P379" s="9" t="str">
        <x:v>普通男女装</x:v>
      </x:c>
      <x:c r="Q379" s="9" t="str">
        <x:v>W_SKIRTS_AVGPAID_1700_1800_ANNUAL2026.xlsx</x:v>
      </x:c>
      <x:c r="R379" s="9" t="str">
        <x:v>默认</x:v>
      </x:c>
      <x:c r="S379" s="9" t="n">
        <x:v>380</x:v>
      </x:c>
      <x:c r="T379" s="9" t="str">
        <x:v>c25ed77c53c7c5cfcf728778a0e9b297d8689503f62756a939cbd534ca9b587a</x:v>
      </x:c>
      <x:c r="U379" s="9" t="str">
        <x:v>W_SKIRTS_AVGPAID_1700_1800_ANNUAL2026</x:v>
      </x:c>
      <x:c r="V379" s="9" t="str">
        <x:v>W_SKIRTS_AVGPAID_1700_1800_ANNUAL2026.xlsx / 默认 / 第380行 / SHA256 c25ed77c53c7c5cfcf728778a0e9b297d8689503f62756a939cbd534ca9b587a</x:v>
      </x:c>
    </x:row>
    <x:row r="380" ht="58" customHeight="1">
      <x:c r="A380" s="23" t="str">
        <x:v>1054542768222</x:v>
      </x:c>
      <x:c r="B380" s="22"/>
      <x:c r="C380" s="22"/>
      <x:c r="D380" s="22"/>
      <x:c r="E380" s="9" t="str">
        <x:v>裙长未明确</x:v>
      </x:c>
      <x:c r="F380" s="9" t="str">
        <x:v>裙装</x:v>
      </x:c>
      <x:c r="G380" s="9" t="str">
        <x:v>半身裙</x:v>
      </x:c>
      <x:c r="H380" s="9" t="str">
        <x:v>女</x:v>
      </x:c>
      <x:c r="I380" s="9" t="str">
        <x:v>UNION 官方授权 ICE DUST 26早秋 钉珠荷叶边半身裙+吊带</x:v>
      </x:c>
      <x:c r="J380" s="9" t="str">
        <x:v>ICE DUST</x:v>
      </x:c>
      <x:c r="K380" s="24" t="n">
        <x:v>1394.62</x:v>
      </x:c>
      <x:c r="L380" s="25" t="e">
        <x:f>HYPERLINK("https://item.taobao.com/item.htm?id=1054542768222","打开商品")</x:f>
        <x:v>HYPERLINK is not implemented. linkLocation=https://item.taobao.com/item.htm?id=1054542768222, friendlyName=打开商品</x:v>
      </x:c>
      <x:c r="M380" s="25" t="e">
        <x:f>HYPERLINK("https://data.zhiyitech.cn/itemDetail/overview/base?itemId=1054542768222","打开知衣")</x:f>
        <x:v>HYPERLINK is not implemented. linkLocation=https://data.zhiyitech.cn/itemDetail/overview/base?itemId=1054542768222, friendlyName=打开知衣</x:v>
      </x:c>
      <x:c r="N380" s="25" t="e">
        <x:f>HYPERLINK("https://img.alicdn.com/bao/uploaded/i4/2207478008166/O1CN01djoAyIOpM2H2R3rs_!!4611686018427382118-0-item_pic.jpg","查看主图")</x:f>
        <x:v>HYPERLINK is not implemented. linkLocation=https://img.alicdn.com/bao/uploaded/i4/2207478008166/O1CN01djoAyIOpM2H2R3rs_!!4611686018427382118-0-item_pic.jpg, friendlyName=查看主图</x:v>
      </x:c>
      <x:c r="O380" s="9" t="str">
        <x:v>标题及既有类目语义复核；UNION 官方授权 ICE DUST 26早秋 钉珠荷叶边半身裙+吊带；原类目及标题已能确认半身裙；展示使用已知大类，未知裙长下沉到结构字段，不强猜长短。</x:v>
      </x:c>
      <x:c r="P380" s="9" t="str">
        <x:v>普通男女装</x:v>
      </x:c>
      <x:c r="Q380" s="9" t="str">
        <x:v>W_SKIRTS_AVGPAID_1300_1400_ANNUAL2026.xlsx</x:v>
      </x:c>
      <x:c r="R380" s="9" t="str">
        <x:v>默认</x:v>
      </x:c>
      <x:c r="S380" s="9" t="n">
        <x:v>226</x:v>
      </x:c>
      <x:c r="T380" s="9" t="str">
        <x:v>bd4dae1e08e9eca7ddd0669235bf59107cdc418b9c2898fc16f36a7ab5748692</x:v>
      </x:c>
      <x:c r="U380" s="9" t="str">
        <x:v>W_SKIRTS_AVGPAID_1300_1400_ANNUAL2026</x:v>
      </x:c>
      <x:c r="V380" s="9" t="str">
        <x:v>W_SKIRTS_AVGPAID_1300_1400_ANNUAL2026.xlsx / 默认 / 第226行 / SHA256 bd4dae1e08e9eca7ddd0669235bf59107cdc418b9c2898fc16f36a7ab5748692</x:v>
      </x:c>
    </x:row>
    <x:row r="381" ht="58" customHeight="1">
      <x:c r="A381" s="23" t="str">
        <x:v>1065935866900</x:v>
      </x:c>
      <x:c r="B381" s="22"/>
      <x:c r="C381" s="22"/>
      <x:c r="D381" s="22"/>
      <x:c r="E381" s="9" t="str">
        <x:v>裙长未明确</x:v>
      </x:c>
      <x:c r="F381" s="9" t="str">
        <x:v>裙装</x:v>
      </x:c>
      <x:c r="G381" s="9" t="str">
        <x:v>半身裙</x:v>
      </x:c>
      <x:c r="H381" s="9" t="str">
        <x:v>女</x:v>
      </x:c>
      <x:c r="I381" s="9" t="str">
        <x:v>UNION 官方授权 ICE DUST 26早秋 压褶珠绣半裙</x:v>
      </x:c>
      <x:c r="J381" s="9" t="str">
        <x:v>ICE DUST</x:v>
      </x:c>
      <x:c r="K381" s="24" t="n">
        <x:v>1545.94</x:v>
      </x:c>
      <x:c r="L381" s="25" t="e">
        <x:f>HYPERLINK("https://item.taobao.com/item.htm?id=1065935866900","打开商品")</x:f>
        <x:v>HYPERLINK is not implemented. linkLocation=https://item.taobao.com/item.htm?id=1065935866900, friendlyName=打开商品</x:v>
      </x:c>
      <x:c r="M381" s="25" t="e">
        <x:f>HYPERLINK("https://data.zhiyitech.cn/itemDetail/overview/base?itemId=1065935866900","打开知衣")</x:f>
        <x:v>HYPERLINK is not implemented. linkLocation=https://data.zhiyitech.cn/itemDetail/overview/base?itemId=1065935866900, friendlyName=打开知衣</x:v>
      </x:c>
      <x:c r="N381" s="25" t="e">
        <x:f>HYPERLINK("https://img.alicdn.com/bao/uploaded/i4/2207478008166/O1CN01r1NNIq2AC5QkbBxZo_!!4611686018427382118-0-item_pic.jpg","查看主图")</x:f>
        <x:v>HYPERLINK is not implemented. linkLocation=https://img.alicdn.com/bao/uploaded/i4/2207478008166/O1CN01r1NNIq2AC5QkbBxZo_!!4611686018427382118-0-item_pic.jpg, friendlyName=查看主图</x:v>
      </x:c>
      <x:c r="O381" s="9" t="str">
        <x:v>标题及既有类目语义复核；UNION 官方授权 ICE DUST 26早秋 压褶珠绣半裙；原类目及标题已能确认半身裙；展示使用已知大类，未知裙长下沉到结构字段，不强猜长短。</x:v>
      </x:c>
      <x:c r="P381" s="9" t="str">
        <x:v>普通男女装</x:v>
      </x:c>
      <x:c r="Q381" s="9" t="str">
        <x:v>W_SKIRTS_AVGPAID_1500_1600_ANNUAL2026.xlsx</x:v>
      </x:c>
      <x:c r="R381" s="9" t="str">
        <x:v>默认</x:v>
      </x:c>
      <x:c r="S381" s="9" t="n">
        <x:v>475</x:v>
      </x:c>
      <x:c r="T381" s="9" t="str">
        <x:v>deede8b56943df4f914be45dba170f12e69064023d6ef0e88dbde1764f6ba23e</x:v>
      </x:c>
      <x:c r="U381" s="9" t="str">
        <x:v>W_SKIRTS_AVGPAID_1500_1600_ANNUAL2026</x:v>
      </x:c>
      <x:c r="V381" s="9" t="str">
        <x:v>W_SKIRTS_AVGPAID_1500_1600_ANNUAL2026.xlsx / 默认 / 第475行 / SHA256 deede8b56943df4f914be45dba170f12e69064023d6ef0e88dbde1764f6ba23e</x:v>
      </x:c>
    </x:row>
    <x:row r="382" ht="58" customHeight="1">
      <x:c r="A382" s="23" t="str">
        <x:v>1084859673878</x:v>
      </x:c>
      <x:c r="B382" s="22"/>
      <x:c r="C382" s="22"/>
      <x:c r="D382" s="22"/>
      <x:c r="E382" s="9" t="str">
        <x:v>裙长未明确</x:v>
      </x:c>
      <x:c r="F382" s="9" t="str">
        <x:v>裙装</x:v>
      </x:c>
      <x:c r="G382" s="9" t="str">
        <x:v>半身裙</x:v>
      </x:c>
      <x:c r="H382" s="9" t="str">
        <x:v>女</x:v>
      </x:c>
      <x:c r="I382" s="9" t="str">
        <x:v>UNION 官方授权 ICE DUST 26秋冬 鎏金压褶半裙+蕾丝云朵连帽衫</x:v>
      </x:c>
      <x:c r="J382" s="9" t="str">
        <x:v>ICE DUST</x:v>
      </x:c>
      <x:c r="K382" s="24" t="n">
        <x:v>1312.08</x:v>
      </x:c>
      <x:c r="L382" s="25" t="e">
        <x:f>HYPERLINK("https://item.taobao.com/item.htm?id=1084859673878","打开商品")</x:f>
        <x:v>HYPERLINK is not implemented. linkLocation=https://item.taobao.com/item.htm?id=1084859673878, friendlyName=打开商品</x:v>
      </x:c>
      <x:c r="M382" s="25" t="e">
        <x:f>HYPERLINK("https://data.zhiyitech.cn/itemDetail/overview/base?itemId=1084859673878","打开知衣")</x:f>
        <x:v>HYPERLINK is not implemented. linkLocation=https://data.zhiyitech.cn/itemDetail/overview/base?itemId=1084859673878, friendlyName=打开知衣</x:v>
      </x:c>
      <x:c r="N382" s="25" t="e">
        <x:f>HYPERLINK("https://img.alicdn.com/bao/uploaded/i1/2207478008166/O1CN01rw00ezNmulI2vH2e_!!4611686018427382118-0-item_pic.jpg","查看主图")</x:f>
        <x:v>HYPERLINK is not implemented. linkLocation=https://img.alicdn.com/bao/uploaded/i1/2207478008166/O1CN01rw00ezNmulI2vH2e_!!4611686018427382118-0-item_pic.jpg, friendlyName=查看主图</x:v>
      </x:c>
      <x:c r="O382" s="9" t="str">
        <x:v>标题及既有类目语义复核；UNION 官方授权 ICE DUST 26秋冬 鎏金压褶半裙+蕾丝云朵连帽衫；原类目及标题已能确认半身裙；展示使用已知大类，未知裙长下沉到结构字段，不强猜长短。</x:v>
      </x:c>
      <x:c r="P382" s="9" t="str">
        <x:v>普通男女装</x:v>
      </x:c>
      <x:c r="Q382" s="9" t="str">
        <x:v>W_SKIRTS_AVGPAID_1300_1400_ANNUAL2026.xlsx</x:v>
      </x:c>
      <x:c r="R382" s="9" t="str">
        <x:v>默认</x:v>
      </x:c>
      <x:c r="S382" s="9" t="n">
        <x:v>305</x:v>
      </x:c>
      <x:c r="T382" s="9" t="str">
        <x:v>bd4dae1e08e9eca7ddd0669235bf59107cdc418b9c2898fc16f36a7ab5748692</x:v>
      </x:c>
      <x:c r="U382" s="9" t="str">
        <x:v>W_SKIRTS_AVGPAID_1300_1400_ANNUAL2026</x:v>
      </x:c>
      <x:c r="V382" s="9" t="str">
        <x:v>W_SKIRTS_AVGPAID_1300_1400_ANNUAL2026.xlsx / 默认 / 第305行 / SHA256 bd4dae1e08e9eca7ddd0669235bf59107cdc418b9c2898fc16f36a7ab5748692</x:v>
      </x:c>
    </x:row>
    <x:row r="383" ht="58" customHeight="1">
      <x:c r="A383" s="23" t="str">
        <x:v>890241097429</x:v>
      </x:c>
      <x:c r="B383" s="22"/>
      <x:c r="C383" s="22"/>
      <x:c r="D383" s="22"/>
      <x:c r="E383" s="9" t="str">
        <x:v>裙长未明确</x:v>
      </x:c>
      <x:c r="F383" s="9" t="str">
        <x:v>裙装</x:v>
      </x:c>
      <x:c r="G383" s="9" t="str">
        <x:v>半身裙</x:v>
      </x:c>
      <x:c r="H383" s="9" t="str">
        <x:v>女</x:v>
      </x:c>
      <x:c r="I383" s="9" t="str">
        <x:v>ICEDUST 亚麻肌理感不规则半身裙女25SS春夏季薄款系带拼接裙子</x:v>
      </x:c>
      <x:c r="J383" s="9" t="str">
        <x:v>ICE DUST</x:v>
      </x:c>
      <x:c r="K383" s="24" t="n">
        <x:v>1307.63</x:v>
      </x:c>
      <x:c r="L383" s="25" t="e">
        <x:f>HYPERLINK("https://item.taobao.com/item.htm?id=890241097429","打开商品")</x:f>
        <x:v>HYPERLINK is not implemented. linkLocation=https://item.taobao.com/item.htm?id=890241097429, friendlyName=打开商品</x:v>
      </x:c>
      <x:c r="M383" s="25" t="e">
        <x:f>HYPERLINK("https://data.zhiyitech.cn/itemDetail/overview/base?itemId=890241097429","打开知衣")</x:f>
        <x:v>HYPERLINK is not implemented. linkLocation=https://data.zhiyitech.cn/itemDetail/overview/base?itemId=890241097429, friendlyName=打开知衣</x:v>
      </x:c>
      <x:c r="N383" s="25" t="e">
        <x:f>HYPERLINK("https://img.alicdn.com/bao/uploaded/i3/2215195956945/O1CN01KG7JUt21ArobaL7iD_!!2215195956945.jpg","查看主图")</x:f>
        <x:v>HYPERLINK is not implemented. linkLocation=https://img.alicdn.com/bao/uploaded/i3/2215195956945/O1CN01KG7JUt21ArobaL7iD_!!2215195956945.jpg, friendlyName=查看主图</x:v>
      </x:c>
      <x:c r="O383" s="9" t="str">
        <x:v>标题及既有类目语义复核；ICEDUST 亚麻肌理感不规则半身裙女25SS春夏季薄款系带拼接裙子；原类目及标题已能确认半身裙；展示使用已知大类，未知裙长下沉到结构字段，不强猜长短。</x:v>
      </x:c>
      <x:c r="P383" s="9" t="str">
        <x:v>普通男女装</x:v>
      </x:c>
      <x:c r="Q383" s="9" t="str">
        <x:v>W_SKIRTS_AVGPAID_1300_1400_ANNUAL2026.xlsx</x:v>
      </x:c>
      <x:c r="R383" s="9" t="str">
        <x:v>默认</x:v>
      </x:c>
      <x:c r="S383" s="9" t="n">
        <x:v>487</x:v>
      </x:c>
      <x:c r="T383" s="9" t="str">
        <x:v>bd4dae1e08e9eca7ddd0669235bf59107cdc418b9c2898fc16f36a7ab5748692</x:v>
      </x:c>
      <x:c r="U383" s="9" t="str">
        <x:v>W_SKIRTS_AVGPAID_1300_1400_ANNUAL2026</x:v>
      </x:c>
      <x:c r="V383" s="9" t="str">
        <x:v>W_SKIRTS_AVGPAID_1300_1400_ANNUAL2026.xlsx / 默认 / 第487行 / SHA256 bd4dae1e08e9eca7ddd0669235bf59107cdc418b9c2898fc16f36a7ab5748692</x:v>
      </x:c>
    </x:row>
    <x:row r="384" ht="58" customHeight="1">
      <x:c r="A384" s="23" t="str">
        <x:v>978511959286</x:v>
      </x:c>
      <x:c r="B384" s="22"/>
      <x:c r="C384" s="22"/>
      <x:c r="D384" s="22"/>
      <x:c r="E384" s="9" t="str">
        <x:v>裙长未明确</x:v>
      </x:c>
      <x:c r="F384" s="9" t="str">
        <x:v>裙装</x:v>
      </x:c>
      <x:c r="G384" s="9" t="str">
        <x:v>半身裙</x:v>
      </x:c>
      <x:c r="H384" s="9" t="str">
        <x:v>女</x:v>
      </x:c>
      <x:c r="I384" s="9" t="str">
        <x:v>ICEDUST羊毛呢子半身裙女灰色春秋季新款高级感高腰显瘦a字裙子</x:v>
      </x:c>
      <x:c r="J384" s="9" t="str">
        <x:v>ICE DUST</x:v>
      </x:c>
      <x:c r="K384" s="24" t="n">
        <x:v>1337.86</x:v>
      </x:c>
      <x:c r="L384" s="25" t="e">
        <x:f>HYPERLINK("https://item.taobao.com/item.htm?id=978511959286","打开商品")</x:f>
        <x:v>HYPERLINK is not implemented. linkLocation=https://item.taobao.com/item.htm?id=978511959286, friendlyName=打开商品</x:v>
      </x:c>
      <x:c r="M384" s="25" t="e">
        <x:f>HYPERLINK("https://data.zhiyitech.cn/itemDetail/overview/base?itemId=978511959286","打开知衣")</x:f>
        <x:v>HYPERLINK is not implemented. linkLocation=https://data.zhiyitech.cn/itemDetail/overview/base?itemId=978511959286, friendlyName=打开知衣</x:v>
      </x:c>
      <x:c r="N384" s="25" t="e">
        <x:f>HYPERLINK("https://img.alicdn.com/bao/uploaded/i2/2215195956945/O1CN01n6UNrFvfI5H2vH2e_!!4611686018427385553-0-item_pic.jpg","查看主图")</x:f>
        <x:v>HYPERLINK is not implemented. linkLocation=https://img.alicdn.com/bao/uploaded/i2/2215195956945/O1CN01n6UNrFvfI5H2vH2e_!!4611686018427385553-0-item_pic.jpg, friendlyName=查看主图</x:v>
      </x:c>
      <x:c r="O384" s="9" t="str">
        <x:v>标题及既有类目语义复核；ICEDUST羊毛呢子半身裙女灰色春秋季新款高级感高腰显瘦a字裙子；原类目及标题已能确认半身裙；展示使用已知大类，未知裙长下沉到结构字段，不强猜长短。</x:v>
      </x:c>
      <x:c r="P384" s="9" t="str">
        <x:v>普通男女装</x:v>
      </x:c>
      <x:c r="Q384" s="9" t="str">
        <x:v>W_SKIRTS_AVGPAID_1300_1400_ANNUAL2026.xlsx</x:v>
      </x:c>
      <x:c r="R384" s="9" t="str">
        <x:v>默认</x:v>
      </x:c>
      <x:c r="S384" s="9" t="n">
        <x:v>486</x:v>
      </x:c>
      <x:c r="T384" s="9" t="str">
        <x:v>bd4dae1e08e9eca7ddd0669235bf59107cdc418b9c2898fc16f36a7ab5748692</x:v>
      </x:c>
      <x:c r="U384" s="9" t="str">
        <x:v>W_SKIRTS_AVGPAID_1300_1400_ANNUAL2026</x:v>
      </x:c>
      <x:c r="V384" s="9" t="str">
        <x:v>W_SKIRTS_AVGPAID_1300_1400_ANNUAL2026.xlsx / 默认 / 第486行 / SHA256 bd4dae1e08e9eca7ddd0669235bf59107cdc418b9c2898fc16f36a7ab5748692</x:v>
      </x:c>
    </x:row>
    <x:row r="385" ht="58" customHeight="1">
      <x:c r="A385" s="23" t="str">
        <x:v>979038662465</x:v>
      </x:c>
      <x:c r="B385" s="22"/>
      <x:c r="C385" s="22"/>
      <x:c r="D385" s="22"/>
      <x:c r="E385" s="9" t="str">
        <x:v>裙长未明确</x:v>
      </x:c>
      <x:c r="F385" s="9" t="str">
        <x:v>裙装</x:v>
      </x:c>
      <x:c r="G385" s="9" t="str">
        <x:v>半身裙</x:v>
      </x:c>
      <x:c r="H385" s="9" t="str">
        <x:v>女</x:v>
      </x:c>
      <x:c r="I385" s="9" t="str">
        <x:v>ICEDUST层叠荷叶边半身裙女秋冬季新款法式高级设计感休闲A字裙子</x:v>
      </x:c>
      <x:c r="J385" s="9" t="str">
        <x:v>ICE DUST</x:v>
      </x:c>
      <x:c r="K385" s="24" t="n">
        <x:v>1374.06</x:v>
      </x:c>
      <x:c r="L385" s="25" t="e">
        <x:f>HYPERLINK("https://item.taobao.com/item.htm?id=979038662465","打开商品")</x:f>
        <x:v>HYPERLINK is not implemented. linkLocation=https://item.taobao.com/item.htm?id=979038662465, friendlyName=打开商品</x:v>
      </x:c>
      <x:c r="M385" s="25" t="e">
        <x:f>HYPERLINK("https://data.zhiyitech.cn/itemDetail/overview/base?itemId=979038662465","打开知衣")</x:f>
        <x:v>HYPERLINK is not implemented. linkLocation=https://data.zhiyitech.cn/itemDetail/overview/base?itemId=979038662465, friendlyName=打开知衣</x:v>
      </x:c>
      <x:c r="N385" s="25" t="e">
        <x:f>HYPERLINK("https://img.alicdn.com/bao/uploaded/i3/2215195956945/O1CN01dmDUq1W7p6I2vH2e_!!2215195956945.jpg","查看主图")</x:f>
        <x:v>HYPERLINK is not implemented. linkLocation=https://img.alicdn.com/bao/uploaded/i3/2215195956945/O1CN01dmDUq1W7p6I2vH2e_!!2215195956945.jpg, friendlyName=查看主图</x:v>
      </x:c>
      <x:c r="O385" s="9" t="str">
        <x:v>标题及既有类目语义复核；ICEDUST层叠荷叶边半身裙女秋冬季新款法式高级设计感休闲A字裙子；原类目及标题已能确认半身裙；展示使用已知大类，未知裙长下沉到结构字段，不强猜长短。</x:v>
      </x:c>
      <x:c r="P385" s="9" t="str">
        <x:v>普通男女装</x:v>
      </x:c>
      <x:c r="Q385" s="9" t="str">
        <x:v>W_SKIRTS_AVGPAID_1300_1400_ANNUAL2026.xlsx</x:v>
      </x:c>
      <x:c r="R385" s="9" t="str">
        <x:v>默认</x:v>
      </x:c>
      <x:c r="S385" s="9" t="n">
        <x:v>75</x:v>
      </x:c>
      <x:c r="T385" s="9" t="str">
        <x:v>bd4dae1e08e9eca7ddd0669235bf59107cdc418b9c2898fc16f36a7ab5748692</x:v>
      </x:c>
      <x:c r="U385" s="9" t="str">
        <x:v>W_SKIRTS_AVGPAID_1300_1400_ANNUAL2026</x:v>
      </x:c>
      <x:c r="V385" s="9" t="str">
        <x:v>W_SKIRTS_AVGPAID_1300_1400_ANNUAL2026.xlsx / 默认 / 第75行 / SHA256 bd4dae1e08e9eca7ddd0669235bf59107cdc418b9c2898fc16f36a7ab5748692</x:v>
      </x:c>
    </x:row>
    <x:row r="386" ht="58" customHeight="1">
      <x:c r="A386" s="23" t="str">
        <x:v>983202190632</x:v>
      </x:c>
      <x:c r="B386" s="22"/>
      <x:c r="C386" s="22"/>
      <x:c r="D386" s="22"/>
      <x:c r="E386" s="9" t="str">
        <x:v>裙长未明确</x:v>
      </x:c>
      <x:c r="F386" s="9" t="str">
        <x:v>裙装</x:v>
      </x:c>
      <x:c r="G386" s="9" t="str">
        <x:v>半身裙</x:v>
      </x:c>
      <x:c r="H386" s="9" t="str">
        <x:v>女</x:v>
      </x:c>
      <x:c r="I386" s="9" t="str">
        <x:v>ICEDUST蕾丝边钉珠拼接半身裙女秋冬季法式轻奢设计感黑色A字裙子</x:v>
      </x:c>
      <x:c r="J386" s="9" t="str">
        <x:v>ICE DUST</x:v>
      </x:c>
      <x:c r="K386" s="24" t="n">
        <x:v>1709.61</x:v>
      </x:c>
      <x:c r="L386" s="25" t="e">
        <x:f>HYPERLINK("https://item.taobao.com/item.htm?id=983202190632","打开商品")</x:f>
        <x:v>HYPERLINK is not implemented. linkLocation=https://item.taobao.com/item.htm?id=983202190632, friendlyName=打开商品</x:v>
      </x:c>
      <x:c r="M386" s="25" t="e">
        <x:f>HYPERLINK("https://data.zhiyitech.cn/itemDetail/overview/base?itemId=983202190632","打开知衣")</x:f>
        <x:v>HYPERLINK is not implemented. linkLocation=https://data.zhiyitech.cn/itemDetail/overview/base?itemId=983202190632, friendlyName=打开知衣</x:v>
      </x:c>
      <x:c r="N386" s="25" t="e">
        <x:f>HYPERLINK("https://img.alicdn.com/bao/uploaded/i3/2215195956945/O1CN012wTrRYX9xxI2vH2e_!!4611686018427385553-0-item_pic.jpg","查看主图")</x:f>
        <x:v>HYPERLINK is not implemented. linkLocation=https://img.alicdn.com/bao/uploaded/i3/2215195956945/O1CN012wTrRYX9xxI2vH2e_!!4611686018427385553-0-item_pic.jpg, friendlyName=查看主图</x:v>
      </x:c>
      <x:c r="O386" s="9" t="str">
        <x:v>标题及既有类目语义复核；ICEDUST蕾丝边钉珠拼接半身裙女秋冬季法式轻奢设计感黑色A字裙子；原类目及标题已能确认半身裙；展示使用已知大类，未知裙长下沉到结构字段，不强猜长短。</x:v>
      </x:c>
      <x:c r="P386" s="9" t="str">
        <x:v>普通男女装</x:v>
      </x:c>
      <x:c r="Q386" s="9" t="str">
        <x:v>W_SKIRTS_AVGPAID_1700_1800_ANNUAL2026.xlsx</x:v>
      </x:c>
      <x:c r="R386" s="9" t="str">
        <x:v>默认</x:v>
      </x:c>
      <x:c r="S386" s="9" t="n">
        <x:v>181</x:v>
      </x:c>
      <x:c r="T386" s="9" t="str">
        <x:v>c25ed77c53c7c5cfcf728778a0e9b297d8689503f62756a939cbd534ca9b587a</x:v>
      </x:c>
      <x:c r="U386" s="9" t="str">
        <x:v>W_SKIRTS_AVGPAID_1700_1800_ANNUAL2026</x:v>
      </x:c>
      <x:c r="V386" s="9" t="str">
        <x:v>W_SKIRTS_AVGPAID_1700_1800_ANNUAL2026.xlsx / 默认 / 第181行 / SHA256 c25ed77c53c7c5cfcf728778a0e9b297d8689503f62756a939cbd534ca9b587a</x:v>
      </x:c>
    </x:row>
    <x:row r="387" ht="58" customHeight="1">
      <x:c r="A387" s="23" t="str">
        <x:v>991997334332</x:v>
      </x:c>
      <x:c r="B387" s="22"/>
      <x:c r="C387" s="22"/>
      <x:c r="D387" s="22"/>
      <x:c r="E387" s="9" t="str">
        <x:v>裙长未明确</x:v>
      </x:c>
      <x:c r="F387" s="9" t="str">
        <x:v>裙装</x:v>
      </x:c>
      <x:c r="G387" s="9" t="str">
        <x:v>半身裙</x:v>
      </x:c>
      <x:c r="H387" s="9" t="str">
        <x:v>女</x:v>
      </x:c>
      <x:c r="I387" s="9" t="str">
        <x:v>ICEDUST 金丝绒印花拼接皮裙女春秋季新款复古美拉德直筒半身裙子</x:v>
      </x:c>
      <x:c r="J387" s="9" t="str">
        <x:v>ICE DUST</x:v>
      </x:c>
      <x:c r="K387" s="24" t="n">
        <x:v>1550.88</x:v>
      </x:c>
      <x:c r="L387" s="25" t="e">
        <x:f>HYPERLINK("https://item.taobao.com/item.htm?id=991997334332","打开商品")</x:f>
        <x:v>HYPERLINK is not implemented. linkLocation=https://item.taobao.com/item.htm?id=991997334332, friendlyName=打开商品</x:v>
      </x:c>
      <x:c r="M387" s="25" t="e">
        <x:f>HYPERLINK("https://data.zhiyitech.cn/itemDetail/overview/base?itemId=991997334332","打开知衣")</x:f>
        <x:v>HYPERLINK is not implemented. linkLocation=https://data.zhiyitech.cn/itemDetail/overview/base?itemId=991997334332, friendlyName=打开知衣</x:v>
      </x:c>
      <x:c r="N387" s="25" t="e">
        <x:f>HYPERLINK("https://img.alicdn.com/bao/uploaded/i3/2215195956945/O1CN01tz05cGs37TD2vH2e_!!2215195956945.jpg","查看主图")</x:f>
        <x:v>HYPERLINK is not implemented. linkLocation=https://img.alicdn.com/bao/uploaded/i3/2215195956945/O1CN01tz05cGs37TD2vH2e_!!2215195956945.jpg, friendlyName=查看主图</x:v>
      </x:c>
      <x:c r="O387" s="9" t="str">
        <x:v>标题及既有类目语义复核；ICEDUST 金丝绒印花拼接皮裙女春秋季新款复古美拉德直筒半身裙子；原类目及标题已能确认半身裙；展示使用已知大类，未知裙长下沉到结构字段，不强猜长短。</x:v>
      </x:c>
      <x:c r="P387" s="9" t="str">
        <x:v>普通男女装</x:v>
      </x:c>
      <x:c r="Q387" s="9" t="str">
        <x:v>W_SKIRTS_AVGPAID_1500_1600_ANNUAL2026.xlsx</x:v>
      </x:c>
      <x:c r="R387" s="9" t="str">
        <x:v>默认</x:v>
      </x:c>
      <x:c r="S387" s="9" t="n">
        <x:v>71</x:v>
      </x:c>
      <x:c r="T387" s="9" t="str">
        <x:v>deede8b56943df4f914be45dba170f12e69064023d6ef0e88dbde1764f6ba23e</x:v>
      </x:c>
      <x:c r="U387" s="9" t="str">
        <x:v>W_SKIRTS_AVGPAID_1500_1600_ANNUAL2026</x:v>
      </x:c>
      <x:c r="V387" s="9" t="str">
        <x:v>W_SKIRTS_AVGPAID_1500_1600_ANNUAL2026.xlsx / 默认 / 第71行 / SHA256 deede8b56943df4f914be45dba170f12e69064023d6ef0e88dbde1764f6ba23e</x:v>
      </x:c>
    </x:row>
    <x:row r="388" ht="58" customHeight="1">
      <x:c r="A388" s="23" t="str">
        <x:v>992104067319</x:v>
      </x:c>
      <x:c r="B388" s="22"/>
      <x:c r="C388" s="22"/>
      <x:c r="D388" s="22"/>
      <x:c r="E388" s="9" t="str">
        <x:v>裙长未明确</x:v>
      </x:c>
      <x:c r="F388" s="9" t="str">
        <x:v>裙装</x:v>
      </x:c>
      <x:c r="G388" s="9" t="str">
        <x:v>半身裙</x:v>
      </x:c>
      <x:c r="H388" s="9" t="str">
        <x:v>女</x:v>
      </x:c>
      <x:c r="I388" s="9" t="str">
        <x:v>UNION 官方授权 ICE DUST 25秋冬 金丝绒印花拼接皮裙</x:v>
      </x:c>
      <x:c r="J388" s="9" t="str">
        <x:v>ICE DUST</x:v>
      </x:c>
      <x:c r="K388" s="24" t="n">
        <x:v>1590.62</x:v>
      </x:c>
      <x:c r="L388" s="25" t="e">
        <x:f>HYPERLINK("https://item.taobao.com/item.htm?id=992104067319","打开商品")</x:f>
        <x:v>HYPERLINK is not implemented. linkLocation=https://item.taobao.com/item.htm?id=992104067319, friendlyName=打开商品</x:v>
      </x:c>
      <x:c r="M388" s="25" t="e">
        <x:f>HYPERLINK("https://data.zhiyitech.cn/itemDetail/overview/base?itemId=992104067319","打开知衣")</x:f>
        <x:v>HYPERLINK is not implemented. linkLocation=https://data.zhiyitech.cn/itemDetail/overview/base?itemId=992104067319, friendlyName=打开知衣</x:v>
      </x:c>
      <x:c r="N388" s="25" t="e">
        <x:f>HYPERLINK("https://img.alicdn.com/bao/uploaded/i3/2207478008166/O1CN01nnFhnY2AC5P0xIhz6_!!4611686018427382118-0-item_pic.jpg","查看主图")</x:f>
        <x:v>HYPERLINK is not implemented. linkLocation=https://img.alicdn.com/bao/uploaded/i3/2207478008166/O1CN01nnFhnY2AC5P0xIhz6_!!4611686018427382118-0-item_pic.jpg, friendlyName=查看主图</x:v>
      </x:c>
      <x:c r="O388" s="9" t="str">
        <x:v>标题及既有类目语义复核；UNION 官方授权 ICE DUST 25秋冬 金丝绒印花拼接皮裙；原类目及标题已能确认半身裙；展示使用已知大类，未知裙长下沉到结构字段，不强猜长短。</x:v>
      </x:c>
      <x:c r="P388" s="9" t="str">
        <x:v>普通男女装</x:v>
      </x:c>
      <x:c r="Q388" s="9" t="str">
        <x:v>W_SKIRTS_AVGPAID_1500_1600_ANNUAL2026.xlsx</x:v>
      </x:c>
      <x:c r="R388" s="9" t="str">
        <x:v>默认</x:v>
      </x:c>
      <x:c r="S388" s="9" t="n">
        <x:v>182</x:v>
      </x:c>
      <x:c r="T388" s="9" t="str">
        <x:v>deede8b56943df4f914be45dba170f12e69064023d6ef0e88dbde1764f6ba23e</x:v>
      </x:c>
      <x:c r="U388" s="9" t="str">
        <x:v>W_SKIRTS_AVGPAID_1500_1600_ANNUAL2026</x:v>
      </x:c>
      <x:c r="V388" s="9" t="str">
        <x:v>W_SKIRTS_AVGPAID_1500_1600_ANNUAL2026.xlsx / 默认 / 第182行 / SHA256 deede8b56943df4f914be45dba170f12e69064023d6ef0e88dbde1764f6ba23e</x:v>
      </x:c>
    </x:row>
    <x:row r="389" ht="58" customHeight="1">
      <x:c r="A389" s="23" t="str">
        <x:v>994120655163</x:v>
      </x:c>
      <x:c r="B389" s="22"/>
      <x:c r="C389" s="22"/>
      <x:c r="D389" s="22"/>
      <x:c r="E389" s="9" t="str">
        <x:v>裙长未明确</x:v>
      </x:c>
      <x:c r="F389" s="9" t="str">
        <x:v>裙装</x:v>
      </x:c>
      <x:c r="G389" s="9" t="str">
        <x:v>半身裙</x:v>
      </x:c>
      <x:c r="H389" s="9" t="str">
        <x:v>女</x:v>
      </x:c>
      <x:c r="I389" s="9" t="str">
        <x:v>【ICE DUST】hug 新款金丝绒印花拼接皮裙icedust</x:v>
      </x:c>
      <x:c r="J389" s="9" t="str">
        <x:v>ICE DUST</x:v>
      </x:c>
      <x:c r="K389" s="24" t="n">
        <x:v>1706.69</x:v>
      </x:c>
      <x:c r="L389" s="25" t="e">
        <x:f>HYPERLINK("https://item.taobao.com/item.htm?id=994120655163","打开商品")</x:f>
        <x:v>HYPERLINK is not implemented. linkLocation=https://item.taobao.com/item.htm?id=994120655163, friendlyName=打开商品</x:v>
      </x:c>
      <x:c r="M389" s="25" t="e">
        <x:f>HYPERLINK("https://data.zhiyitech.cn/itemDetail/overview/base?itemId=994120655163","打开知衣")</x:f>
        <x:v>HYPERLINK is not implemented. linkLocation=https://data.zhiyitech.cn/itemDetail/overview/base?itemId=994120655163, friendlyName=打开知衣</x:v>
      </x:c>
      <x:c r="N389" s="25" t="e">
        <x:f>HYPERLINK("https://img.alicdn.com/bao/uploaded/i2/2207642645793/O1CN01reqZEP1sfFXSMMCUs_!!2207642645793.jpg","查看主图")</x:f>
        <x:v>HYPERLINK is not implemented. linkLocation=https://img.alicdn.com/bao/uploaded/i2/2207642645793/O1CN01reqZEP1sfFXSMMCUs_!!2207642645793.jpg, friendlyName=查看主图</x:v>
      </x:c>
      <x:c r="O389" s="9" t="str">
        <x:v>标题及既有类目语义复核；【ICE DUST】hug 新款金丝绒印花拼接皮裙icedust；原类目及标题已能确认半身裙；展示使用已知大类，未知裙长下沉到结构字段，不强猜长短。</x:v>
      </x:c>
      <x:c r="P389" s="9" t="str">
        <x:v>普通男女装</x:v>
      </x:c>
      <x:c r="Q389" s="9" t="str">
        <x:v>W_SKIRTS_AVGPAID_1700_1800_ANNUAL2026.xlsx</x:v>
      </x:c>
      <x:c r="R389" s="9" t="str">
        <x:v>默认</x:v>
      </x:c>
      <x:c r="S389" s="9" t="n">
        <x:v>396</x:v>
      </x:c>
      <x:c r="T389" s="9" t="str">
        <x:v>c25ed77c53c7c5cfcf728778a0e9b297d8689503f62756a939cbd534ca9b587a</x:v>
      </x:c>
      <x:c r="U389" s="9" t="str">
        <x:v>W_SKIRTS_AVGPAID_1700_1800_ANNUAL2026</x:v>
      </x:c>
      <x:c r="V389" s="9" t="str">
        <x:v>W_SKIRTS_AVGPAID_1700_1800_ANNUAL2026.xlsx / 默认 / 第396行 / SHA256 c25ed77c53c7c5cfcf728778a0e9b297d8689503f62756a939cbd534ca9b587a</x:v>
      </x:c>
    </x:row>
    <x:row r="390" ht="58" customHeight="1">
      <x:c r="A390" s="23" t="str">
        <x:v>999023812012</x:v>
      </x:c>
      <x:c r="B390" s="22"/>
      <x:c r="C390" s="22"/>
      <x:c r="D390" s="22"/>
      <x:c r="E390" s="9" t="str">
        <x:v>裙长未明确</x:v>
      </x:c>
      <x:c r="F390" s="9" t="str">
        <x:v>裙装</x:v>
      </x:c>
      <x:c r="G390" s="9" t="str">
        <x:v>半身裙</x:v>
      </x:c>
      <x:c r="H390" s="9" t="str">
        <x:v>女</x:v>
      </x:c>
      <x:c r="I390" s="9" t="str">
        <x:v>ICE DUST新品25秋冬亮片网纱一步裙女YOUNIQUE买手店</x:v>
      </x:c>
      <x:c r="J390" s="9" t="str">
        <x:v>ICE DUST</x:v>
      </x:c>
      <x:c r="K390" s="24" t="n">
        <x:v>1588.01</x:v>
      </x:c>
      <x:c r="L390" s="25" t="e">
        <x:f>HYPERLINK("https://item.taobao.com/item.htm?id=999023812012","打开商品")</x:f>
        <x:v>HYPERLINK is not implemented. linkLocation=https://item.taobao.com/item.htm?id=999023812012, friendlyName=打开商品</x:v>
      </x:c>
      <x:c r="M390" s="25" t="e">
        <x:f>HYPERLINK("https://data.zhiyitech.cn/itemDetail/overview/base?itemId=999023812012","打开知衣")</x:f>
        <x:v>HYPERLINK is not implemented. linkLocation=https://data.zhiyitech.cn/itemDetail/overview/base?itemId=999023812012, friendlyName=打开知衣</x:v>
      </x:c>
      <x:c r="N390" s="25" t="e">
        <x:f>HYPERLINK("https://img.alicdn.com/bao/uploaded/i1/278392151/O1CN016CkaJb1RlD4lDDhBZ-278392151.jpg","查看主图")</x:f>
        <x:v>HYPERLINK is not implemented. linkLocation=https://img.alicdn.com/bao/uploaded/i1/278392151/O1CN016CkaJb1RlD4lDDhBZ-278392151.jpg, friendlyName=查看主图</x:v>
      </x:c>
      <x:c r="O390" s="9" t="str">
        <x:v>标题及既有类目语义复核；ICE DUST新品25秋冬亮片网纱一步裙女YOUNIQUE买手店；原类目及标题已能确认半身裙；展示使用已知大类，未知裙长下沉到结构字段，不强猜长短。</x:v>
      </x:c>
      <x:c r="P390" s="9" t="str">
        <x:v>普通男女装</x:v>
      </x:c>
      <x:c r="Q390" s="9" t="str">
        <x:v>W_SKIRTS_AVGPAID_1500_1600_ANNUAL2026.xlsx</x:v>
      </x:c>
      <x:c r="R390" s="9" t="str">
        <x:v>默认</x:v>
      </x:c>
      <x:c r="S390" s="9" t="n">
        <x:v>436</x:v>
      </x:c>
      <x:c r="T390" s="9" t="str">
        <x:v>deede8b56943df4f914be45dba170f12e69064023d6ef0e88dbde1764f6ba23e</x:v>
      </x:c>
      <x:c r="U390" s="9" t="str">
        <x:v>W_SKIRTS_AVGPAID_1500_1600_ANNUAL2026</x:v>
      </x:c>
      <x:c r="V390" s="9" t="str">
        <x:v>W_SKIRTS_AVGPAID_1500_1600_ANNUAL2026.xlsx / 默认 / 第436行 / SHA256 deede8b56943df4f914be45dba170f12e69064023d6ef0e88dbde1764f6ba23e</x:v>
      </x:c>
    </x:row>
    <x:row r="391" ht="58" customHeight="1">
      <x:c r="A391" s="23" t="str">
        <x:v>881527560048</x:v>
      </x:c>
      <x:c r="B391" s="22"/>
      <x:c r="C391" s="22"/>
      <x:c r="D391" s="22"/>
      <x:c r="E391" s="9" t="str">
        <x:v>裙长未明确</x:v>
      </x:c>
      <x:c r="F391" s="9" t="str">
        <x:v>裙装</x:v>
      </x:c>
      <x:c r="G391" s="9" t="str">
        <x:v>半身裙</x:v>
      </x:c>
      <x:c r="H391" s="9" t="str">
        <x:v>女</x:v>
      </x:c>
      <x:c r="I391" s="9" t="str">
        <x:v>售罄【之禾经典】ICICLE之禾女装春季弹力重绉重磅真丝半身裙</x:v>
      </x:c>
      <x:c r="J391" s="9" t="str">
        <x:v>ICICLE/之禾</x:v>
      </x:c>
      <x:c r="K391" s="24" t="n">
        <x:v>1726.73</x:v>
      </x:c>
      <x:c r="L391" s="25" t="e">
        <x:f>HYPERLINK("https://item.taobao.com/item.htm?id=881527560048","打开商品")</x:f>
        <x:v>HYPERLINK is not implemented. linkLocation=https://item.taobao.com/item.htm?id=881527560048, friendlyName=打开商品</x:v>
      </x:c>
      <x:c r="M391" s="25" t="e">
        <x:f>HYPERLINK("https://data.zhiyitech.cn/itemDetail/overview/base?itemId=881527560048","打开知衣")</x:f>
        <x:v>HYPERLINK is not implemented. linkLocation=https://data.zhiyitech.cn/itemDetail/overview/base?itemId=881527560048, friendlyName=打开知衣</x:v>
      </x:c>
      <x:c r="N391" s="25" t="e">
        <x:f>HYPERLINK("https://img.alicdn.com/bao/uploaded/i1/2696351370/O1CN01CLebJp1LzVivz7QHZ_!!2696351370.jpg","查看主图")</x:f>
        <x:v>HYPERLINK is not implemented. linkLocation=https://img.alicdn.com/bao/uploaded/i1/2696351370/O1CN01CLebJp1LzVivz7QHZ_!!2696351370.jpg, friendlyName=查看主图</x:v>
      </x:c>
      <x:c r="O391" s="9" t="str">
        <x:v>标题及既有类目语义复核；售罄【之禾经典】ICICLE之禾女装春季弹力重绉重磅真丝半身裙；原类目及标题已能确认半身裙；展示使用已知大类，未知裙长下沉到结构字段，不强猜长短。</x:v>
      </x:c>
      <x:c r="P391" s="9" t="str">
        <x:v>普通男女装</x:v>
      </x:c>
      <x:c r="Q391" s="9" t="str">
        <x:v>W_SKIRTS_AVGPAID_1700_1800_ANNUAL2026.xlsx</x:v>
      </x:c>
      <x:c r="R391" s="9" t="str">
        <x:v>默认</x:v>
      </x:c>
      <x:c r="S391" s="9" t="n">
        <x:v>391</x:v>
      </x:c>
      <x:c r="T391" s="9" t="str">
        <x:v>c25ed77c53c7c5cfcf728778a0e9b297d8689503f62756a939cbd534ca9b587a</x:v>
      </x:c>
      <x:c r="U391" s="9" t="str">
        <x:v>W_SKIRTS_AVGPAID_1700_1800_ANNUAL2026</x:v>
      </x:c>
      <x:c r="V391" s="9" t="str">
        <x:v>W_SKIRTS_AVGPAID_1700_1800_ANNUAL2026.xlsx / 默认 / 第391行 / SHA256 c25ed77c53c7c5cfcf728778a0e9b297d8689503f62756a939cbd534ca9b587a</x:v>
      </x:c>
    </x:row>
    <x:row r="392" ht="58" customHeight="1">
      <x:c r="A392" s="23" t="str">
        <x:v>1007207836836</x:v>
      </x:c>
      <x:c r="B392" s="22"/>
      <x:c r="C392" s="22"/>
      <x:c r="D392" s="22"/>
      <x:c r="E392" s="9" t="str">
        <x:v>裙长未明确</x:v>
      </x:c>
      <x:c r="F392" s="9" t="str">
        <x:v>裙装</x:v>
      </x:c>
      <x:c r="G392" s="9" t="str">
        <x:v>半身裙</x:v>
      </x:c>
      <x:c r="H392" s="9" t="str">
        <x:v>女</x:v>
      </x:c>
      <x:c r="I392" s="9" t="str">
        <x:v>鱼岛主人2025秋冬休闲百搭松紧腰黑色加绒显瘦半身裙女6214</x:v>
      </x:c>
      <x:c r="J392" s="9" t="str">
        <x:v>IDYLL ISLE/鱼岛主人</x:v>
      </x:c>
      <x:c r="K392" s="24" t="n">
        <x:v>1515.34</x:v>
      </x:c>
      <x:c r="L392" s="25" t="e">
        <x:f>HYPERLINK("https://item.taobao.com/item.htm?id=1007207836836","打开商品")</x:f>
        <x:v>HYPERLINK is not implemented. linkLocation=https://item.taobao.com/item.htm?id=1007207836836, friendlyName=打开商品</x:v>
      </x:c>
      <x:c r="M392" s="25" t="e">
        <x:f>HYPERLINK("https://data.zhiyitech.cn/itemDetail/overview/base?itemId=1007207836836","打开知衣")</x:f>
        <x:v>HYPERLINK is not implemented. linkLocation=https://data.zhiyitech.cn/itemDetail/overview/base?itemId=1007207836836, friendlyName=打开知衣</x:v>
      </x:c>
      <x:c r="N392" s="25" t="e">
        <x:f>HYPERLINK("https://img.alicdn.com/bao/uploaded/i2/380946859/O1CN01hsfbat20XTjH1Vusb_!!380946859.jpg","查看主图")</x:f>
        <x:v>HYPERLINK is not implemented. linkLocation=https://img.alicdn.com/bao/uploaded/i2/380946859/O1CN01hsfbat20XTjH1Vusb_!!380946859.jpg, friendlyName=查看主图</x:v>
      </x:c>
      <x:c r="O392" s="9" t="str">
        <x:v>标题及既有类目语义复核；鱼岛主人2025秋冬休闲百搭松紧腰黑色加绒显瘦半身裙女6214；原类目及标题已能确认半身裙；展示使用已知大类，未知裙长下沉到结构字段，不强猜长短。</x:v>
      </x:c>
      <x:c r="P392" s="9" t="str">
        <x:v>普通男女装</x:v>
      </x:c>
      <x:c r="Q392" s="9" t="str">
        <x:v>W_SKIRTS_AVGPAID_1500_1600_ANNUAL2026.xlsx</x:v>
      </x:c>
      <x:c r="R392" s="9" t="str">
        <x:v>默认</x:v>
      </x:c>
      <x:c r="S392" s="9" t="n">
        <x:v>102</x:v>
      </x:c>
      <x:c r="T392" s="9" t="str">
        <x:v>deede8b56943df4f914be45dba170f12e69064023d6ef0e88dbde1764f6ba23e</x:v>
      </x:c>
      <x:c r="U392" s="9" t="str">
        <x:v>W_SKIRTS_AVGPAID_1500_1600_ANNUAL2026</x:v>
      </x:c>
      <x:c r="V392" s="9" t="str">
        <x:v>W_SKIRTS_AVGPAID_1500_1600_ANNUAL2026.xlsx / 默认 / 第102行 / SHA256 deede8b56943df4f914be45dba170f12e69064023d6ef0e88dbde1764f6ba23e</x:v>
      </x:c>
    </x:row>
    <x:row r="393" ht="58" customHeight="1">
      <x:c r="A393" s="23" t="str">
        <x:v>1039897210221</x:v>
      </x:c>
      <x:c r="B393" s="22"/>
      <x:c r="C393" s="22"/>
      <x:c r="D393" s="22"/>
      <x:c r="E393" s="9" t="str">
        <x:v>裙长未明确</x:v>
      </x:c>
      <x:c r="F393" s="9" t="str">
        <x:v>裙装</x:v>
      </x:c>
      <x:c r="G393" s="9" t="str">
        <x:v>半身裙</x:v>
      </x:c>
      <x:c r="H393" s="9" t="str">
        <x:v>女</x:v>
      </x:c>
      <x:c r="I393" s="9" t="str">
        <x:v>鱼岛主人2026夏日本进口近江晒面料全棉松紧腰活页百搭半身裙5211</x:v>
      </x:c>
      <x:c r="J393" s="9" t="str">
        <x:v>IDYLL ISLE/鱼岛主人</x:v>
      </x:c>
      <x:c r="K393" s="24" t="n">
        <x:v>1787.7</x:v>
      </x:c>
      <x:c r="L393" s="25" t="e">
        <x:f>HYPERLINK("https://item.taobao.com/item.htm?id=1039897210221","打开商品")</x:f>
        <x:v>HYPERLINK is not implemented. linkLocation=https://item.taobao.com/item.htm?id=1039897210221, friendlyName=打开商品</x:v>
      </x:c>
      <x:c r="M393" s="25" t="e">
        <x:f>HYPERLINK("https://data.zhiyitech.cn/itemDetail/overview/base?itemId=1039897210221","打开知衣")</x:f>
        <x:v>HYPERLINK is not implemented. linkLocation=https://data.zhiyitech.cn/itemDetail/overview/base?itemId=1039897210221, friendlyName=打开知衣</x:v>
      </x:c>
      <x:c r="N393" s="25" t="e">
        <x:f>HYPERLINK("https://img.alicdn.com/bao/uploaded/i1/380946859/O1CN01pVJkMH20XTkQEA2sq_!!380946859.jpg","查看主图")</x:f>
        <x:v>HYPERLINK is not implemented. linkLocation=https://img.alicdn.com/bao/uploaded/i1/380946859/O1CN01pVJkMH20XTkQEA2sq_!!380946859.jpg, friendlyName=查看主图</x:v>
      </x:c>
      <x:c r="O393" s="9" t="str">
        <x:v>标题及既有类目语义复核；鱼岛主人2026夏日本进口近江晒面料全棉松紧腰活页百搭半身裙5211；原类目及标题已能确认半身裙；展示使用已知大类，未知裙长下沉到结构字段，不强猜长短。</x:v>
      </x:c>
      <x:c r="P393" s="9" t="str">
        <x:v>普通男女装</x:v>
      </x:c>
      <x:c r="Q393" s="9" t="str">
        <x:v>W_SKIRTS_AVGPAID_1700_1800_ANNUAL2026.xlsx</x:v>
      </x:c>
      <x:c r="R393" s="9" t="str">
        <x:v>默认</x:v>
      </x:c>
      <x:c r="S393" s="9" t="n">
        <x:v>19</x:v>
      </x:c>
      <x:c r="T393" s="9" t="str">
        <x:v>c25ed77c53c7c5cfcf728778a0e9b297d8689503f62756a939cbd534ca9b587a</x:v>
      </x:c>
      <x:c r="U393" s="9" t="str">
        <x:v>W_SKIRTS_AVGPAID_1700_1800_ANNUAL2026</x:v>
      </x:c>
      <x:c r="V393" s="9" t="str">
        <x:v>W_SKIRTS_AVGPAID_1700_1800_ANNUAL2026.xlsx / 默认 / 第19行 / SHA256 c25ed77c53c7c5cfcf728778a0e9b297d8689503f62756a939cbd534ca9b587a</x:v>
      </x:c>
    </x:row>
    <x:row r="394" ht="58" customHeight="1">
      <x:c r="A394" s="23" t="str">
        <x:v>1043207193627</x:v>
      </x:c>
      <x:c r="B394" s="22"/>
      <x:c r="C394" s="22"/>
      <x:c r="D394" s="22"/>
      <x:c r="E394" s="9" t="str">
        <x:v>裙长未明确</x:v>
      </x:c>
      <x:c r="F394" s="9" t="str">
        <x:v>裙装</x:v>
      </x:c>
      <x:c r="G394" s="9" t="str">
        <x:v>半身裙</x:v>
      </x:c>
      <x:c r="H394" s="9" t="str">
        <x:v>女</x:v>
      </x:c>
      <x:c r="I394" s="9" t="str">
        <x:v>鱼岛主人日本进口日晒干面料休闲户外气质松紧腰百搭半身裙女5217</x:v>
      </x:c>
      <x:c r="J394" s="9" t="str">
        <x:v>IDYLL ISLE/鱼岛主人</x:v>
      </x:c>
      <x:c r="K394" s="24" t="n">
        <x:v>1783.54</x:v>
      </x:c>
      <x:c r="L394" s="25" t="e">
        <x:f>HYPERLINK("https://item.taobao.com/item.htm?id=1043207193627","打开商品")</x:f>
        <x:v>HYPERLINK is not implemented. linkLocation=https://item.taobao.com/item.htm?id=1043207193627, friendlyName=打开商品</x:v>
      </x:c>
      <x:c r="M394" s="25" t="e">
        <x:f>HYPERLINK("https://data.zhiyitech.cn/itemDetail/overview/base?itemId=1043207193627","打开知衣")</x:f>
        <x:v>HYPERLINK is not implemented. linkLocation=https://data.zhiyitech.cn/itemDetail/overview/base?itemId=1043207193627, friendlyName=打开知衣</x:v>
      </x:c>
      <x:c r="N394" s="25" t="e">
        <x:f>HYPERLINK("https://img.alicdn.com/bao/uploaded/i3/380946859/O1CN0162fSTD20XTkWAjPJ8_!!380946859.jpg","查看主图")</x:f>
        <x:v>HYPERLINK is not implemented. linkLocation=https://img.alicdn.com/bao/uploaded/i3/380946859/O1CN0162fSTD20XTkWAjPJ8_!!380946859.jpg, friendlyName=查看主图</x:v>
      </x:c>
      <x:c r="O394" s="9" t="str">
        <x:v>标题及既有类目语义复核；鱼岛主人日本进口日晒干面料休闲户外气质松紧腰百搭半身裙女5217；原类目及标题已能确认半身裙；展示使用已知大类，未知裙长下沉到结构字段，不强猜长短。</x:v>
      </x:c>
      <x:c r="P394" s="9" t="str">
        <x:v>普通男女装</x:v>
      </x:c>
      <x:c r="Q394" s="9" t="str">
        <x:v>W_SKIRTS_AVGPAID_1700_1800_ANNUAL2026.xlsx</x:v>
      </x:c>
      <x:c r="R394" s="9" t="str">
        <x:v>默认</x:v>
      </x:c>
      <x:c r="S394" s="9" t="n">
        <x:v>52</x:v>
      </x:c>
      <x:c r="T394" s="9" t="str">
        <x:v>c25ed77c53c7c5cfcf728778a0e9b297d8689503f62756a939cbd534ca9b587a</x:v>
      </x:c>
      <x:c r="U394" s="9" t="str">
        <x:v>W_SKIRTS_AVGPAID_1700_1800_ANNUAL2026</x:v>
      </x:c>
      <x:c r="V394" s="9" t="str">
        <x:v>W_SKIRTS_AVGPAID_1700_1800_ANNUAL2026.xlsx / 默认 / 第52行 / SHA256 c25ed77c53c7c5cfcf728778a0e9b297d8689503f62756a939cbd534ca9b587a</x:v>
      </x:c>
    </x:row>
    <x:row r="395" ht="58" customHeight="1">
      <x:c r="A395" s="23" t="str">
        <x:v>1053447920468</x:v>
      </x:c>
      <x:c r="B395" s="22"/>
      <x:c r="C395" s="22"/>
      <x:c r="D395" s="22"/>
      <x:c r="E395" s="9" t="str">
        <x:v>裙长未明确</x:v>
      </x:c>
      <x:c r="F395" s="9" t="str">
        <x:v>裙装</x:v>
      </x:c>
      <x:c r="G395" s="9" t="str">
        <x:v>半身裙</x:v>
      </x:c>
      <x:c r="H395" s="9" t="str">
        <x:v>女</x:v>
      </x:c>
      <x:c r="I395" s="9" t="str">
        <x:v>鱼岛主人2026夏日本进口日晒干面料宽松休闲松紧腰口袋半身裙4270</x:v>
      </x:c>
      <x:c r="J395" s="9" t="str">
        <x:v>IDYLL ISLE/鱼岛主人</x:v>
      </x:c>
      <x:c r="K395" s="24" t="n">
        <x:v>1785.65</x:v>
      </x:c>
      <x:c r="L395" s="25" t="e">
        <x:f>HYPERLINK("https://item.taobao.com/item.htm?id=1053447920468","打开商品")</x:f>
        <x:v>HYPERLINK is not implemented. linkLocation=https://item.taobao.com/item.htm?id=1053447920468, friendlyName=打开商品</x:v>
      </x:c>
      <x:c r="M395" s="25" t="e">
        <x:f>HYPERLINK("https://data.zhiyitech.cn/itemDetail/overview/base?itemId=1053447920468","打开知衣")</x:f>
        <x:v>HYPERLINK is not implemented. linkLocation=https://data.zhiyitech.cn/itemDetail/overview/base?itemId=1053447920468, friendlyName=打开知衣</x:v>
      </x:c>
      <x:c r="N395" s="25" t="e">
        <x:f>HYPERLINK("https://img.alicdn.com/bao/uploaded/i3/380946859/O1CN01oDfbnF20XTkyopblT_!!380946859.jpg","查看主图")</x:f>
        <x:v>HYPERLINK is not implemented. linkLocation=https://img.alicdn.com/bao/uploaded/i3/380946859/O1CN01oDfbnF20XTkyopblT_!!380946859.jpg, friendlyName=查看主图</x:v>
      </x:c>
      <x:c r="O395" s="9" t="str">
        <x:v>标题及既有类目语义复核；鱼岛主人2026夏日本进口日晒干面料宽松休闲松紧腰口袋半身裙4270；原类目及标题已能确认半身裙；展示使用已知大类，未知裙长下沉到结构字段，不强猜长短。</x:v>
      </x:c>
      <x:c r="P395" s="9" t="str">
        <x:v>普通男女装</x:v>
      </x:c>
      <x:c r="Q395" s="9" t="str">
        <x:v>W_SKIRTS_AVGPAID_1700_1800_ANNUAL2026.xlsx</x:v>
      </x:c>
      <x:c r="R395" s="9" t="str">
        <x:v>默认</x:v>
      </x:c>
      <x:c r="S395" s="9" t="n">
        <x:v>32</x:v>
      </x:c>
      <x:c r="T395" s="9" t="str">
        <x:v>c25ed77c53c7c5cfcf728778a0e9b297d8689503f62756a939cbd534ca9b587a</x:v>
      </x:c>
      <x:c r="U395" s="9" t="str">
        <x:v>W_SKIRTS_AVGPAID_1700_1800_ANNUAL2026</x:v>
      </x:c>
      <x:c r="V395" s="9" t="str">
        <x:v>W_SKIRTS_AVGPAID_1700_1800_ANNUAL2026.xlsx / 默认 / 第32行 / SHA256 c25ed77c53c7c5cfcf728778a0e9b297d8689503f62756a939cbd534ca9b587a</x:v>
      </x:c>
    </x:row>
    <x:row r="396" ht="58" customHeight="1">
      <x:c r="A396" s="23" t="str">
        <x:v>1063488682693</x:v>
      </x:c>
      <x:c r="B396" s="22"/>
      <x:c r="C396" s="22"/>
      <x:c r="D396" s="22"/>
      <x:c r="E396" s="9" t="str">
        <x:v>裙长未明确</x:v>
      </x:c>
      <x:c r="F396" s="9" t="str">
        <x:v>裙装</x:v>
      </x:c>
      <x:c r="G396" s="9" t="str">
        <x:v>半身裙</x:v>
      </x:c>
      <x:c r="H396" s="9" t="str">
        <x:v>女</x:v>
      </x:c>
      <x:c r="I396" s="9" t="str">
        <x:v>鱼岛主人日本进口岗山牛仔面料松紧腰大口袋简约棉麻半身裙夏8016</x:v>
      </x:c>
      <x:c r="J396" s="9" t="str">
        <x:v>IDYLL ISLE/鱼岛主人</x:v>
      </x:c>
      <x:c r="K396" s="24" t="n">
        <x:v>1761.28</x:v>
      </x:c>
      <x:c r="L396" s="25" t="e">
        <x:f>HYPERLINK("https://item.taobao.com/item.htm?id=1063488682693","打开商品")</x:f>
        <x:v>HYPERLINK is not implemented. linkLocation=https://item.taobao.com/item.htm?id=1063488682693, friendlyName=打开商品</x:v>
      </x:c>
      <x:c r="M396" s="25" t="e">
        <x:f>HYPERLINK("https://data.zhiyitech.cn/itemDetail/overview/base?itemId=1063488682693","打开知衣")</x:f>
        <x:v>HYPERLINK is not implemented. linkLocation=https://data.zhiyitech.cn/itemDetail/overview/base?itemId=1063488682693, friendlyName=打开知衣</x:v>
      </x:c>
      <x:c r="N396" s="25" t="e">
        <x:f>HYPERLINK("https://img.alicdn.com/bao/uploaded/i4/380946859/O1CN01ViVOTJ20XTlb98lsu_!!380946859.jpg","查看主图")</x:f>
        <x:v>HYPERLINK is not implemented. linkLocation=https://img.alicdn.com/bao/uploaded/i4/380946859/O1CN01ViVOTJ20XTlb98lsu_!!380946859.jpg, friendlyName=查看主图</x:v>
      </x:c>
      <x:c r="O396" s="9" t="str">
        <x:v>标题及既有类目语义复核；鱼岛主人日本进口岗山牛仔面料松紧腰大口袋简约棉麻半身裙夏8016；原类目及标题已能确认半身裙；展示使用已知大类，未知裙长下沉到结构字段，不强猜长短。</x:v>
      </x:c>
      <x:c r="P396" s="9" t="str">
        <x:v>普通男女装</x:v>
      </x:c>
      <x:c r="Q396" s="9" t="str">
        <x:v>W_SKIRTS_AVGPAID_1700_1800_ANNUAL2026.xlsx</x:v>
      </x:c>
      <x:c r="R396" s="9" t="str">
        <x:v>默认</x:v>
      </x:c>
      <x:c r="S396" s="9" t="n">
        <x:v>85</x:v>
      </x:c>
      <x:c r="T396" s="9" t="str">
        <x:v>c25ed77c53c7c5cfcf728778a0e9b297d8689503f62756a939cbd534ca9b587a</x:v>
      </x:c>
      <x:c r="U396" s="9" t="str">
        <x:v>W_SKIRTS_AVGPAID_1700_1800_ANNUAL2026</x:v>
      </x:c>
      <x:c r="V396" s="9" t="str">
        <x:v>W_SKIRTS_AVGPAID_1700_1800_ANNUAL2026.xlsx / 默认 / 第85行 / SHA256 c25ed77c53c7c5cfcf728778a0e9b297d8689503f62756a939cbd534ca9b587a</x:v>
      </x:c>
    </x:row>
    <x:row r="397" ht="58" customHeight="1">
      <x:c r="A397" s="23" t="str">
        <x:v>1076951608373</x:v>
      </x:c>
      <x:c r="B397" s="22"/>
      <x:c r="C397" s="22"/>
      <x:c r="D397" s="22"/>
      <x:c r="E397" s="9" t="str">
        <x:v>裙长未明确</x:v>
      </x:c>
      <x:c r="F397" s="9" t="str">
        <x:v>裙装</x:v>
      </x:c>
      <x:c r="G397" s="9" t="str">
        <x:v>半身裙</x:v>
      </x:c>
      <x:c r="H397" s="9" t="str">
        <x:v>女</x:v>
      </x:c>
      <x:c r="I397" s="9" t="str">
        <x:v>鱼岛主人日本进口日晒干面料松紧腰百搭后开叉秋季半身裙女3222</x:v>
      </x:c>
      <x:c r="J397" s="9" t="str">
        <x:v>IDYLL ISLE/鱼岛主人</x:v>
      </x:c>
      <x:c r="K397" s="24" t="n">
        <x:v>1751.79</x:v>
      </x:c>
      <x:c r="L397" s="25" t="e">
        <x:f>HYPERLINK("https://item.taobao.com/item.htm?id=1076951608373","打开商品")</x:f>
        <x:v>HYPERLINK is not implemented. linkLocation=https://item.taobao.com/item.htm?id=1076951608373, friendlyName=打开商品</x:v>
      </x:c>
      <x:c r="M397" s="25" t="e">
        <x:f>HYPERLINK("https://data.zhiyitech.cn/itemDetail/overview/base?itemId=1076951608373","打开知衣")</x:f>
        <x:v>HYPERLINK is not implemented. linkLocation=https://data.zhiyitech.cn/itemDetail/overview/base?itemId=1076951608373, friendlyName=打开知衣</x:v>
      </x:c>
      <x:c r="N397" s="25" t="e">
        <x:f>HYPERLINK("https://img.alicdn.com/bao/uploaded/i2/380946859/O1CN013ieTVNmQbOG2vH2e_!!380946859.jpg","查看主图")</x:f>
        <x:v>HYPERLINK is not implemented. linkLocation=https://img.alicdn.com/bao/uploaded/i2/380946859/O1CN013ieTVNmQbOG2vH2e_!!380946859.jpg, friendlyName=查看主图</x:v>
      </x:c>
      <x:c r="O397" s="9" t="str">
        <x:v>标题及既有类目语义复核；鱼岛主人日本进口日晒干面料松紧腰百搭后开叉秋季半身裙女3222；原类目及标题已能确认半身裙；展示使用已知大类，未知裙长下沉到结构字段，不强猜长短。</x:v>
      </x:c>
      <x:c r="P397" s="9" t="str">
        <x:v>普通男女装</x:v>
      </x:c>
      <x:c r="Q397" s="9" t="str">
        <x:v>W_SKIRTS_AVGPAID_1700_1800_ANNUAL2026.xlsx</x:v>
      </x:c>
      <x:c r="R397" s="9" t="str">
        <x:v>默认</x:v>
      </x:c>
      <x:c r="S397" s="9" t="n">
        <x:v>306</x:v>
      </x:c>
      <x:c r="T397" s="9" t="str">
        <x:v>c25ed77c53c7c5cfcf728778a0e9b297d8689503f62756a939cbd534ca9b587a</x:v>
      </x:c>
      <x:c r="U397" s="9" t="str">
        <x:v>W_SKIRTS_AVGPAID_1700_1800_ANNUAL2026</x:v>
      </x:c>
      <x:c r="V397" s="9" t="str">
        <x:v>W_SKIRTS_AVGPAID_1700_1800_ANNUAL2026.xlsx / 默认 / 第306行 / SHA256 c25ed77c53c7c5cfcf728778a0e9b297d8689503f62756a939cbd534ca9b587a</x:v>
      </x:c>
    </x:row>
    <x:row r="398" ht="58" customHeight="1">
      <x:c r="A398" s="23" t="str">
        <x:v>819930887709</x:v>
      </x:c>
      <x:c r="B398" s="22"/>
      <x:c r="C398" s="22"/>
      <x:c r="D398" s="22"/>
      <x:c r="E398" s="9" t="str">
        <x:v>裙长未明确</x:v>
      </x:c>
      <x:c r="F398" s="9" t="str">
        <x:v>裙装</x:v>
      </x:c>
      <x:c r="G398" s="9" t="str">
        <x:v>半身裙</x:v>
      </x:c>
      <x:c r="H398" s="9" t="str">
        <x:v>女</x:v>
      </x:c>
      <x:c r="I398" s="9" t="str">
        <x:v>鱼岛主人日本进口日晒干全棉面料撞色线松紧腰藏青百搭半身裙5069</x:v>
      </x:c>
      <x:c r="J398" s="9" t="str">
        <x:v>IDYLL ISLE/鱼岛主人</x:v>
      </x:c>
      <x:c r="K398" s="24" t="n">
        <x:v>1722.58</x:v>
      </x:c>
      <x:c r="L398" s="25" t="e">
        <x:f>HYPERLINK("https://item.taobao.com/item.htm?id=819930887709","打开商品")</x:f>
        <x:v>HYPERLINK is not implemented. linkLocation=https://item.taobao.com/item.htm?id=819930887709, friendlyName=打开商品</x:v>
      </x:c>
      <x:c r="M398" s="25" t="e">
        <x:f>HYPERLINK("https://data.zhiyitech.cn/itemDetail/overview/base?itemId=819930887709","打开知衣")</x:f>
        <x:v>HYPERLINK is not implemented. linkLocation=https://data.zhiyitech.cn/itemDetail/overview/base?itemId=819930887709, friendlyName=打开知衣</x:v>
      </x:c>
      <x:c r="N398" s="25" t="e">
        <x:f>HYPERLINK("https://img.alicdn.com/bao/uploaded/i1/380946859/O1CN017RsKFw20XTalrqw59_!!380946859.jpg","查看主图")</x:f>
        <x:v>HYPERLINK is not implemented. linkLocation=https://img.alicdn.com/bao/uploaded/i1/380946859/O1CN017RsKFw20XTalrqw59_!!380946859.jpg, friendlyName=查看主图</x:v>
      </x:c>
      <x:c r="O398" s="9" t="str">
        <x:v>标题及既有类目语义复核；鱼岛主人日本进口日晒干全棉面料撞色线松紧腰藏青百搭半身裙5069；原类目及标题已能确认半身裙；展示使用已知大类，未知裙长下沉到结构字段，不强猜长短。</x:v>
      </x:c>
      <x:c r="P398" s="9" t="str">
        <x:v>普通男女装</x:v>
      </x:c>
      <x:c r="Q398" s="9" t="str">
        <x:v>W_SKIRTS_AVGPAID_1700_1800_ANNUAL2026.xlsx</x:v>
      </x:c>
      <x:c r="R398" s="9" t="str">
        <x:v>默认</x:v>
      </x:c>
      <x:c r="S398" s="9" t="n">
        <x:v>40</x:v>
      </x:c>
      <x:c r="T398" s="9" t="str">
        <x:v>c25ed77c53c7c5cfcf728778a0e9b297d8689503f62756a939cbd534ca9b587a</x:v>
      </x:c>
      <x:c r="U398" s="9" t="str">
        <x:v>W_SKIRTS_AVGPAID_1700_1800_ANNUAL2026</x:v>
      </x:c>
      <x:c r="V398" s="9" t="str">
        <x:v>W_SKIRTS_AVGPAID_1700_1800_ANNUAL2026.xlsx / 默认 / 第40行 / SHA256 c25ed77c53c7c5cfcf728778a0e9b297d8689503f62756a939cbd534ca9b587a</x:v>
      </x:c>
    </x:row>
    <x:row r="399" ht="58" customHeight="1">
      <x:c r="A399" s="23" t="str">
        <x:v>819933675608</x:v>
      </x:c>
      <x:c r="B399" s="22"/>
      <x:c r="C399" s="22"/>
      <x:c r="D399" s="22"/>
      <x:c r="E399" s="9" t="str">
        <x:v>裙长未明确</x:v>
      </x:c>
      <x:c r="F399" s="9" t="str">
        <x:v>裙装</x:v>
      </x:c>
      <x:c r="G399" s="9" t="str">
        <x:v>半身裙</x:v>
      </x:c>
      <x:c r="H399" s="9" t="str">
        <x:v>女</x:v>
      </x:c>
      <x:c r="I399" s="9" t="str">
        <x:v>鱼岛主人日本进口日晒干全棉面料撞色线松紧腰四季百搭半身裙5070</x:v>
      </x:c>
      <x:c r="J399" s="9" t="str">
        <x:v>IDYLL ISLE/鱼岛主人</x:v>
      </x:c>
      <x:c r="K399" s="24" t="n">
        <x:v>1714.05</x:v>
      </x:c>
      <x:c r="L399" s="25" t="e">
        <x:f>HYPERLINK("https://item.taobao.com/item.htm?id=819933675608","打开商品")</x:f>
        <x:v>HYPERLINK is not implemented. linkLocation=https://item.taobao.com/item.htm?id=819933675608, friendlyName=打开商品</x:v>
      </x:c>
      <x:c r="M399" s="25" t="e">
        <x:f>HYPERLINK("https://data.zhiyitech.cn/itemDetail/overview/base?itemId=819933675608","打开知衣")</x:f>
        <x:v>HYPERLINK is not implemented. linkLocation=https://data.zhiyitech.cn/itemDetail/overview/base?itemId=819933675608, friendlyName=打开知衣</x:v>
      </x:c>
      <x:c r="N399" s="25" t="e">
        <x:f>HYPERLINK("https://img.alicdn.com/bao/uploaded/i3/380946859/O1CN01H7veLN20XTaldmuYM_!!380946859.jpg","查看主图")</x:f>
        <x:v>HYPERLINK is not implemented. linkLocation=https://img.alicdn.com/bao/uploaded/i3/380946859/O1CN01H7veLN20XTaldmuYM_!!380946859.jpg, friendlyName=查看主图</x:v>
      </x:c>
      <x:c r="O399" s="9" t="str">
        <x:v>标题及既有类目语义复核；鱼岛主人日本进口日晒干全棉面料撞色线松紧腰四季百搭半身裙5070；原类目及标题已能确认半身裙；展示使用已知大类，未知裙长下沉到结构字段，不强猜长短。</x:v>
      </x:c>
      <x:c r="P399" s="9" t="str">
        <x:v>普通男女装</x:v>
      </x:c>
      <x:c r="Q399" s="9" t="str">
        <x:v>W_SKIRTS_AVGPAID_1700_1800_ANNUAL2026.xlsx</x:v>
      </x:c>
      <x:c r="R399" s="9" t="str">
        <x:v>默认</x:v>
      </x:c>
      <x:c r="S399" s="9" t="n">
        <x:v>18</x:v>
      </x:c>
      <x:c r="T399" s="9" t="str">
        <x:v>c25ed77c53c7c5cfcf728778a0e9b297d8689503f62756a939cbd534ca9b587a</x:v>
      </x:c>
      <x:c r="U399" s="9" t="str">
        <x:v>W_SKIRTS_AVGPAID_1700_1800_ANNUAL2026</x:v>
      </x:c>
      <x:c r="V399" s="9" t="str">
        <x:v>W_SKIRTS_AVGPAID_1700_1800_ANNUAL2026.xlsx / 默认 / 第18行 / SHA256 c25ed77c53c7c5cfcf728778a0e9b297d8689503f62756a939cbd534ca9b587a</x:v>
      </x:c>
    </x:row>
    <x:row r="400" ht="58" customHeight="1">
      <x:c r="A400" s="23" t="str">
        <x:v>959236138119</x:v>
      </x:c>
      <x:c r="B400" s="22"/>
      <x:c r="C400" s="22"/>
      <x:c r="D400" s="22"/>
      <x:c r="E400" s="9" t="str">
        <x:v>裙长未明确</x:v>
      </x:c>
      <x:c r="F400" s="9" t="str">
        <x:v>裙装</x:v>
      </x:c>
      <x:c r="G400" s="9" t="str">
        <x:v>半身裙</x:v>
      </x:c>
      <x:c r="H400" s="9" t="str">
        <x:v>女</x:v>
      </x:c>
      <x:c r="I400" s="9" t="str">
        <x:v>鱼岛主人日本进口日晒干面料黑色气质宽松大口袋百搭半身裙3146Y</x:v>
      </x:c>
      <x:c r="J400" s="9" t="str">
        <x:v>IDYLL ISLE/鱼岛主人</x:v>
      </x:c>
      <x:c r="K400" s="24" t="n">
        <x:v>1726.14</x:v>
      </x:c>
      <x:c r="L400" s="25" t="e">
        <x:f>HYPERLINK("https://item.taobao.com/item.htm?id=959236138119","打开商品")</x:f>
        <x:v>HYPERLINK is not implemented. linkLocation=https://item.taobao.com/item.htm?id=959236138119, friendlyName=打开商品</x:v>
      </x:c>
      <x:c r="M400" s="25" t="e">
        <x:f>HYPERLINK("https://data.zhiyitech.cn/itemDetail/overview/base?itemId=959236138119","打开知衣")</x:f>
        <x:v>HYPERLINK is not implemented. linkLocation=https://data.zhiyitech.cn/itemDetail/overview/base?itemId=959236138119, friendlyName=打开知衣</x:v>
      </x:c>
      <x:c r="N400" s="25" t="e">
        <x:f>HYPERLINK("https://img.alicdn.com/bao/uploaded/i4/380946859/O1CN01oChsiT20XThG3ckjK_!!380946859.jpg","查看主图")</x:f>
        <x:v>HYPERLINK is not implemented. linkLocation=https://img.alicdn.com/bao/uploaded/i4/380946859/O1CN01oChsiT20XThG3ckjK_!!380946859.jpg, friendlyName=查看主图</x:v>
      </x:c>
      <x:c r="O400" s="9" t="str">
        <x:v>标题及既有类目语义复核；鱼岛主人日本进口日晒干面料黑色气质宽松大口袋百搭半身裙3146Y；原类目及标题已能确认半身裙；展示使用已知大类，未知裙长下沉到结构字段，不强猜长短。</x:v>
      </x:c>
      <x:c r="P400" s="9" t="str">
        <x:v>普通男女装</x:v>
      </x:c>
      <x:c r="Q400" s="9" t="str">
        <x:v>W_SKIRTS_AVGPAID_1700_1800_ANNUAL2026.xlsx</x:v>
      </x:c>
      <x:c r="R400" s="9" t="str">
        <x:v>默认</x:v>
      </x:c>
      <x:c r="S400" s="9" t="n">
        <x:v>126</x:v>
      </x:c>
      <x:c r="T400" s="9" t="str">
        <x:v>c25ed77c53c7c5cfcf728778a0e9b297d8689503f62756a939cbd534ca9b587a</x:v>
      </x:c>
      <x:c r="U400" s="9" t="str">
        <x:v>W_SKIRTS_AVGPAID_1700_1800_ANNUAL2026</x:v>
      </x:c>
      <x:c r="V400" s="9" t="str">
        <x:v>W_SKIRTS_AVGPAID_1700_1800_ANNUAL2026.xlsx / 默认 / 第126行 / SHA256 c25ed77c53c7c5cfcf728778a0e9b297d8689503f62756a939cbd534ca9b587a</x:v>
      </x:c>
    </x:row>
    <x:row r="401" ht="58" customHeight="1">
      <x:c r="A401" s="23" t="str">
        <x:v>995910544663</x:v>
      </x:c>
      <x:c r="B401" s="22"/>
      <x:c r="C401" s="22"/>
      <x:c r="D401" s="22"/>
      <x:c r="E401" s="9" t="str">
        <x:v>裙长未明确</x:v>
      </x:c>
      <x:c r="F401" s="9" t="str">
        <x:v>裙装</x:v>
      </x:c>
      <x:c r="G401" s="9" t="str">
        <x:v>半身裙</x:v>
      </x:c>
      <x:c r="H401" s="9" t="str">
        <x:v>女</x:v>
      </x:c>
      <x:c r="I401" s="9" t="str">
        <x:v>鱼岛主人2025冬彩色复古条纹牦牛绒羊毛宽松浪漫针织半身裙女4200</x:v>
      </x:c>
      <x:c r="J401" s="9" t="str">
        <x:v>IDYLL ISLE/鱼岛主人</x:v>
      </x:c>
      <x:c r="K401" s="24" t="n">
        <x:v>1737.19</x:v>
      </x:c>
      <x:c r="L401" s="25" t="e">
        <x:f>HYPERLINK("https://item.taobao.com/item.htm?id=995910544663","打开商品")</x:f>
        <x:v>HYPERLINK is not implemented. linkLocation=https://item.taobao.com/item.htm?id=995910544663, friendlyName=打开商品</x:v>
      </x:c>
      <x:c r="M401" s="25" t="e">
        <x:f>HYPERLINK("https://data.zhiyitech.cn/itemDetail/overview/base?itemId=995910544663","打开知衣")</x:f>
        <x:v>HYPERLINK is not implemented. linkLocation=https://data.zhiyitech.cn/itemDetail/overview/base?itemId=995910544663, friendlyName=打开知衣</x:v>
      </x:c>
      <x:c r="N401" s="25" t="e">
        <x:f>HYPERLINK("https://img.alicdn.com/bao/uploaded/i1/380946859/O1CN01lhJLvM20XTim3sOSg_!!380946859.jpg","查看主图")</x:f>
        <x:v>HYPERLINK is not implemented. linkLocation=https://img.alicdn.com/bao/uploaded/i1/380946859/O1CN01lhJLvM20XTim3sOSg_!!380946859.jpg, friendlyName=查看主图</x:v>
      </x:c>
      <x:c r="O401" s="9" t="str">
        <x:v>标题及既有类目语义复核；鱼岛主人2025冬彩色复古条纹牦牛绒羊毛宽松浪漫针织半身裙女4200；原类目及标题已能确认半身裙；展示使用已知大类，未知裙长下沉到结构字段，不强猜长短。</x:v>
      </x:c>
      <x:c r="P401" s="9" t="str">
        <x:v>普通男女装</x:v>
      </x:c>
      <x:c r="Q401" s="9" t="str">
        <x:v>W_SKIRTS_AVGPAID_1700_1800_ANNUAL2026.xlsx</x:v>
      </x:c>
      <x:c r="R401" s="9" t="str">
        <x:v>默认</x:v>
      </x:c>
      <x:c r="S401" s="9" t="n">
        <x:v>150</x:v>
      </x:c>
      <x:c r="T401" s="9" t="str">
        <x:v>c25ed77c53c7c5cfcf728778a0e9b297d8689503f62756a939cbd534ca9b587a</x:v>
      </x:c>
      <x:c r="U401" s="9" t="str">
        <x:v>W_SKIRTS_AVGPAID_1700_1800_ANNUAL2026</x:v>
      </x:c>
      <x:c r="V401" s="9" t="str">
        <x:v>W_SKIRTS_AVGPAID_1700_1800_ANNUAL2026.xlsx / 默认 / 第150行 / SHA256 c25ed77c53c7c5cfcf728778a0e9b297d8689503f62756a939cbd534ca9b587a</x:v>
      </x:c>
    </x:row>
    <x:row r="402" ht="58" customHeight="1">
      <x:c r="A402" s="23" t="str">
        <x:v>1011908147388</x:v>
      </x:c>
      <x:c r="B402" s="22"/>
      <x:c r="C402" s="22"/>
      <x:c r="D402" s="22"/>
      <x:c r="E402" s="9" t="str">
        <x:v>裙长未明确</x:v>
      </x:c>
      <x:c r="F402" s="9" t="str">
        <x:v>裙装</x:v>
      </x:c>
      <x:c r="G402" s="9" t="str">
        <x:v>半身裙</x:v>
      </x:c>
      <x:c r="H402" s="9" t="str">
        <x:v>女</x:v>
      </x:c>
      <x:c r="I402" s="9" t="str">
        <x:v>IF BY LAND 设计师品牌2026春季新品腰带铜氨不规则下摆半裙女</x:v>
      </x:c>
      <x:c r="J402" s="9" t="str">
        <x:v>IF BY LAND</x:v>
      </x:c>
      <x:c r="K402" s="24" t="n">
        <x:v>1557.7</x:v>
      </x:c>
      <x:c r="L402" s="25" t="e">
        <x:f>HYPERLINK("https://item.taobao.com/item.htm?id=1011908147388","打开商品")</x:f>
        <x:v>HYPERLINK is not implemented. linkLocation=https://item.taobao.com/item.htm?id=1011908147388, friendlyName=打开商品</x:v>
      </x:c>
      <x:c r="M402" s="25" t="e">
        <x:f>HYPERLINK("https://data.zhiyitech.cn/itemDetail/overview/base?itemId=1011908147388","打开知衣")</x:f>
        <x:v>HYPERLINK is not implemented. linkLocation=https://data.zhiyitech.cn/itemDetail/overview/base?itemId=1011908147388, friendlyName=打开知衣</x:v>
      </x:c>
      <x:c r="N402" s="25" t="e">
        <x:f>HYPERLINK("https://img.alicdn.com/bao/uploaded/i2/2217053587707/O1CN01nl4BJ6wyh0E2vH2e_!!2217053587707.jpg","查看主图")</x:f>
        <x:v>HYPERLINK is not implemented. linkLocation=https://img.alicdn.com/bao/uploaded/i2/2217053587707/O1CN01nl4BJ6wyh0E2vH2e_!!2217053587707.jpg, friendlyName=查看主图</x:v>
      </x:c>
      <x:c r="O402" s="9" t="str">
        <x:v>标题及既有类目语义复核；IF BY LAND 设计师品牌2026春季新品腰带铜氨不规则下摆半裙女；原类目及标题已能确认半身裙；展示使用已知大类，未知裙长下沉到结构字段，不强猜长短。</x:v>
      </x:c>
      <x:c r="P402" s="9" t="str">
        <x:v>普通男女装</x:v>
      </x:c>
      <x:c r="Q402" s="9" t="str">
        <x:v>W_SKIRTS_AVGPAID_1500_1600_ANNUAL2026.xlsx</x:v>
      </x:c>
      <x:c r="R402" s="9" t="str">
        <x:v>默认</x:v>
      </x:c>
      <x:c r="S402" s="9" t="n">
        <x:v>488</x:v>
      </x:c>
      <x:c r="T402" s="9" t="str">
        <x:v>deede8b56943df4f914be45dba170f12e69064023d6ef0e88dbde1764f6ba23e</x:v>
      </x:c>
      <x:c r="U402" s="9" t="str">
        <x:v>W_SKIRTS_AVGPAID_1500_1600_ANNUAL2026</x:v>
      </x:c>
      <x:c r="V402" s="9" t="str">
        <x:v>W_SKIRTS_AVGPAID_1500_1600_ANNUAL2026.xlsx / 默认 / 第488行 / SHA256 deede8b56943df4f914be45dba170f12e69064023d6ef0e88dbde1764f6ba23e</x:v>
      </x:c>
    </x:row>
    <x:row r="403" ht="58" customHeight="1">
      <x:c r="A403" s="23" t="str">
        <x:v>1061029700064</x:v>
      </x:c>
      <x:c r="B403" s="22"/>
      <x:c r="C403" s="22"/>
      <x:c r="D403" s="22"/>
      <x:c r="E403" s="9" t="str">
        <x:v>裙长未明确</x:v>
      </x:c>
      <x:c r="F403" s="9" t="str">
        <x:v>裙装</x:v>
      </x:c>
      <x:c r="G403" s="9" t="str">
        <x:v>半身裙</x:v>
      </x:c>
      <x:c r="H403" s="9" t="str">
        <x:v>女</x:v>
      </x:c>
      <x:c r="I403" s="9" t="str">
        <x:v>IF BY LAND 设计师品牌2026秋冬新品复古皮袢镂空针织半裙</x:v>
      </x:c>
      <x:c r="J403" s="9" t="str">
        <x:v>IF BY LAND</x:v>
      </x:c>
      <x:c r="K403" s="24" t="n">
        <x:v>1538.76</x:v>
      </x:c>
      <x:c r="L403" s="25" t="e">
        <x:f>HYPERLINK("https://item.taobao.com/item.htm?id=1061029700064","打开商品")</x:f>
        <x:v>HYPERLINK is not implemented. linkLocation=https://item.taobao.com/item.htm?id=1061029700064, friendlyName=打开商品</x:v>
      </x:c>
      <x:c r="M403" s="25" t="e">
        <x:f>HYPERLINK("https://data.zhiyitech.cn/itemDetail/overview/base?itemId=1061029700064","打开知衣")</x:f>
        <x:v>HYPERLINK is not implemented. linkLocation=https://data.zhiyitech.cn/itemDetail/overview/base?itemId=1061029700064, friendlyName=打开知衣</x:v>
      </x:c>
      <x:c r="N403" s="25" t="e">
        <x:f>HYPERLINK("https://img.alicdn.com/bao/uploaded/i4/2217053587707/O1CN017QnBS5Ce8tE2vH2e_!!4611686018427382011-0-item_pic.jpg","查看主图")</x:f>
        <x:v>HYPERLINK is not implemented. linkLocation=https://img.alicdn.com/bao/uploaded/i4/2217053587707/O1CN017QnBS5Ce8tE2vH2e_!!4611686018427382011-0-item_pic.jpg, friendlyName=查看主图</x:v>
      </x:c>
      <x:c r="O403" s="9" t="str">
        <x:v>标题及既有类目语义复核；IF BY LAND 设计师品牌2026秋冬新品复古皮袢镂空针织半裙；原类目及标题已能确认半身裙；展示使用已知大类，未知裙长下沉到结构字段，不强猜长短。</x:v>
      </x:c>
      <x:c r="P403" s="9" t="str">
        <x:v>普通男女装</x:v>
      </x:c>
      <x:c r="Q403" s="9" t="str">
        <x:v>W_SKIRTS_AVGPAID_1500_1600_ANNUAL2026.xlsx</x:v>
      </x:c>
      <x:c r="R403" s="9" t="str">
        <x:v>默认</x:v>
      </x:c>
      <x:c r="S403" s="9" t="n">
        <x:v>425</x:v>
      </x:c>
      <x:c r="T403" s="9" t="str">
        <x:v>deede8b56943df4f914be45dba170f12e69064023d6ef0e88dbde1764f6ba23e</x:v>
      </x:c>
      <x:c r="U403" s="9" t="str">
        <x:v>W_SKIRTS_AVGPAID_1500_1600_ANNUAL2026</x:v>
      </x:c>
      <x:c r="V403" s="9" t="str">
        <x:v>W_SKIRTS_AVGPAID_1500_1600_ANNUAL2026.xlsx / 默认 / 第425行 / SHA256 deede8b56943df4f914be45dba170f12e69064023d6ef0e88dbde1764f6ba23e</x:v>
      </x:c>
    </x:row>
    <x:row r="404" ht="58" customHeight="1">
      <x:c r="A404" s="23" t="str">
        <x:v>927411097594</x:v>
      </x:c>
      <x:c r="B404" s="22"/>
      <x:c r="C404" s="22"/>
      <x:c r="D404" s="22"/>
      <x:c r="E404" s="9" t="str">
        <x:v>裙长未明确</x:v>
      </x:c>
      <x:c r="F404" s="9" t="str">
        <x:v>裙装</x:v>
      </x:c>
      <x:c r="G404" s="9" t="str">
        <x:v>半身裙</x:v>
      </x:c>
      <x:c r="H404" s="9" t="str">
        <x:v>女</x:v>
      </x:c>
      <x:c r="I404" s="9" t="str">
        <x:v>明星马思纯辛芷蕾艾米同款IF BY LAND格纹不规则毛边半身裙</x:v>
      </x:c>
      <x:c r="J404" s="9" t="str">
        <x:v>IF BY LAND</x:v>
      </x:c>
      <x:c r="K404" s="24" t="n">
        <x:v>1530.09</x:v>
      </x:c>
      <x:c r="L404" s="25" t="e">
        <x:f>HYPERLINK("https://item.taobao.com/item.htm?id=927411097594","打开商品")</x:f>
        <x:v>HYPERLINK is not implemented. linkLocation=https://item.taobao.com/item.htm?id=927411097594, friendlyName=打开商品</x:v>
      </x:c>
      <x:c r="M404" s="25" t="e">
        <x:f>HYPERLINK("https://data.zhiyitech.cn/itemDetail/overview/base?itemId=927411097594","打开知衣")</x:f>
        <x:v>HYPERLINK is not implemented. linkLocation=https://data.zhiyitech.cn/itemDetail/overview/base?itemId=927411097594, friendlyName=打开知衣</x:v>
      </x:c>
      <x:c r="N404" s="25" t="e">
        <x:f>HYPERLINK("https://img.alicdn.com/bao/uploaded/i3/2217053587707/O1CN01jfgisydgjxC1chua_!!2217053587707.jpg","查看主图")</x:f>
        <x:v>HYPERLINK is not implemented. linkLocation=https://img.alicdn.com/bao/uploaded/i3/2217053587707/O1CN01jfgisydgjxC1chua_!!2217053587707.jpg, friendlyName=查看主图</x:v>
      </x:c>
      <x:c r="O404" s="9" t="str">
        <x:v>标题及既有类目语义复核；明星马思纯辛芷蕾艾米同款IF BY LAND格纹不规则毛边半身裙；原类目及标题已能确认半身裙；展示使用已知大类，未知裙长下沉到结构字段，不强猜长短。</x:v>
      </x:c>
      <x:c r="P404" s="9" t="str">
        <x:v>普通男女装</x:v>
      </x:c>
      <x:c r="Q404" s="9" t="str">
        <x:v>W_SKIRTS_AVGPAID_1500_1600_ANNUAL2026.xlsx</x:v>
      </x:c>
      <x:c r="R404" s="9" t="str">
        <x:v>默认</x:v>
      </x:c>
      <x:c r="S404" s="9" t="n">
        <x:v>128</x:v>
      </x:c>
      <x:c r="T404" s="9" t="str">
        <x:v>deede8b56943df4f914be45dba170f12e69064023d6ef0e88dbde1764f6ba23e</x:v>
      </x:c>
      <x:c r="U404" s="9" t="str">
        <x:v>W_SKIRTS_AVGPAID_1500_1600_ANNUAL2026</x:v>
      </x:c>
      <x:c r="V404" s="9" t="str">
        <x:v>W_SKIRTS_AVGPAID_1500_1600_ANNUAL2026.xlsx / 默认 / 第128行 / SHA256 deede8b56943df4f914be45dba170f12e69064023d6ef0e88dbde1764f6ba23e</x:v>
      </x:c>
    </x:row>
    <x:row r="405" ht="58" customHeight="1">
      <x:c r="A405" s="23" t="str">
        <x:v>1008947452575</x:v>
      </x:c>
      <x:c r="B405" s="22"/>
      <x:c r="C405" s="22"/>
      <x:c r="D405" s="22"/>
      <x:c r="E405" s="9" t="str">
        <x:v>裙长未明确</x:v>
      </x:c>
      <x:c r="F405" s="9" t="str">
        <x:v>裙装</x:v>
      </x:c>
      <x:c r="G405" s="9" t="str">
        <x:v>半身裙</x:v>
      </x:c>
      <x:c r="H405" s="9" t="str">
        <x:v>女</x:v>
      </x:c>
      <x:c r="I405" s="9" t="str">
        <x:v>有尾毛织衬衫腰带三合一半裙</x:v>
      </x:c>
      <x:c r="J405" s="9" t="str">
        <x:v>IIEWUOY</x:v>
      </x:c>
      <x:c r="K405" s="24" t="n">
        <x:v>1570.16</x:v>
      </x:c>
      <x:c r="L405" s="25" t="e">
        <x:f>HYPERLINK("https://item.taobao.com/item.htm?id=1008947452575","打开商品")</x:f>
        <x:v>HYPERLINK is not implemented. linkLocation=https://item.taobao.com/item.htm?id=1008947452575, friendlyName=打开商品</x:v>
      </x:c>
      <x:c r="M405" s="25" t="e">
        <x:f>HYPERLINK("https://data.zhiyitech.cn/itemDetail/overview/base?itemId=1008947452575","打开知衣")</x:f>
        <x:v>HYPERLINK is not implemented. linkLocation=https://data.zhiyitech.cn/itemDetail/overview/base?itemId=1008947452575, friendlyName=打开知衣</x:v>
      </x:c>
      <x:c r="N405" s="25" t="e">
        <x:f>HYPERLINK("https://img.alicdn.com/bao/uploaded/i1/2216075049630/O1CN01XyTpMg2L0bEb5dTwi_!!4611686018427386526-0-item_pic.jpg","查看主图")</x:f>
        <x:v>HYPERLINK is not implemented. linkLocation=https://img.alicdn.com/bao/uploaded/i1/2216075049630/O1CN01XyTpMg2L0bEb5dTwi_!!4611686018427386526-0-item_pic.jpg, friendlyName=查看主图</x:v>
      </x:c>
      <x:c r="O405" s="9" t="str">
        <x:v>标题及既有类目语义复核；有尾毛织衬衫腰带三合一半裙；原类目及标题已能确认半身裙；展示使用已知大类，未知裙长下沉到结构字段，不强猜长短。</x:v>
      </x:c>
      <x:c r="P405" s="9" t="str">
        <x:v>普通男女装</x:v>
      </x:c>
      <x:c r="Q405" s="9" t="str">
        <x:v>W_SKIRTS_AVGPAID_1500_1600_ANNUAL2026.xlsx</x:v>
      </x:c>
      <x:c r="R405" s="9" t="str">
        <x:v>默认</x:v>
      </x:c>
      <x:c r="S405" s="9" t="n">
        <x:v>273</x:v>
      </x:c>
      <x:c r="T405" s="9" t="str">
        <x:v>deede8b56943df4f914be45dba170f12e69064023d6ef0e88dbde1764f6ba23e</x:v>
      </x:c>
      <x:c r="U405" s="9" t="str">
        <x:v>W_SKIRTS_AVGPAID_1500_1600_ANNUAL2026</x:v>
      </x:c>
      <x:c r="V405" s="9" t="str">
        <x:v>W_SKIRTS_AVGPAID_1500_1600_ANNUAL2026.xlsx / 默认 / 第273行 / SHA256 deede8b56943df4f914be45dba170f12e69064023d6ef0e88dbde1764f6ba23e</x:v>
      </x:c>
    </x:row>
    <x:row r="406" ht="58" customHeight="1">
      <x:c r="A406" s="23" t="str">
        <x:v>1067589360442</x:v>
      </x:c>
      <x:c r="B406" s="22"/>
      <x:c r="C406" s="22"/>
      <x:c r="D406" s="22"/>
      <x:c r="E406" s="9" t="str">
        <x:v>裙长未明确</x:v>
      </x:c>
      <x:c r="F406" s="9" t="str">
        <x:v>裙装</x:v>
      </x:c>
      <x:c r="G406" s="9" t="str">
        <x:v>半身裙</x:v>
      </x:c>
      <x:c r="H406" s="9" t="str">
        <x:v>女</x:v>
      </x:c>
      <x:c r="I406" s="9" t="str">
        <x:v>YOUWEI有尾2026秋季新品衬衫解构半裙（含腰带）Y5826316</x:v>
      </x:c>
      <x:c r="J406" s="9" t="str">
        <x:v>IIEWUOY</x:v>
      </x:c>
      <x:c r="K406" s="24" t="n">
        <x:v>1566.53</x:v>
      </x:c>
      <x:c r="L406" s="25" t="e">
        <x:f>HYPERLINK("https://item.taobao.com/item.htm?id=1067589360442","打开商品")</x:f>
        <x:v>HYPERLINK is not implemented. linkLocation=https://item.taobao.com/item.htm?id=1067589360442, friendlyName=打开商品</x:v>
      </x:c>
      <x:c r="M406" s="25" t="e">
        <x:f>HYPERLINK("https://data.zhiyitech.cn/itemDetail/overview/base?itemId=1067589360442","打开知衣")</x:f>
        <x:v>HYPERLINK is not implemented. linkLocation=https://data.zhiyitech.cn/itemDetail/overview/base?itemId=1067589360442, friendlyName=打开知衣</x:v>
      </x:c>
      <x:c r="N406" s="25" t="e">
        <x:f>HYPERLINK("https://img.alicdn.com/bao/uploaded/i4/2216075049630/O1CN01vCCwUn2L0bGfCXau4_!!4611686018427386526-0-item_pic.jpg","查看主图")</x:f>
        <x:v>HYPERLINK is not implemented. linkLocation=https://img.alicdn.com/bao/uploaded/i4/2216075049630/O1CN01vCCwUn2L0bGfCXau4_!!4611686018427386526-0-item_pic.jpg, friendlyName=查看主图</x:v>
      </x:c>
      <x:c r="O406" s="9" t="str">
        <x:v>标题及既有类目语义复核；YOUWEI有尾2026秋季新品衬衫解构半裙（含腰带）Y5826316；原类目及标题已能确认半身裙；展示使用已知大类，未知裙长下沉到结构字段，不强猜长短。</x:v>
      </x:c>
      <x:c r="P406" s="9" t="str">
        <x:v>普通男女装</x:v>
      </x:c>
      <x:c r="Q406" s="9" t="str">
        <x:v>W_SKIRTS_AVGPAID_1500_1600_ANNUAL2026.xlsx</x:v>
      </x:c>
      <x:c r="R406" s="9" t="str">
        <x:v>默认</x:v>
      </x:c>
      <x:c r="S406" s="9" t="n">
        <x:v>218</x:v>
      </x:c>
      <x:c r="T406" s="9" t="str">
        <x:v>deede8b56943df4f914be45dba170f12e69064023d6ef0e88dbde1764f6ba23e</x:v>
      </x:c>
      <x:c r="U406" s="9" t="str">
        <x:v>W_SKIRTS_AVGPAID_1500_1600_ANNUAL2026</x:v>
      </x:c>
      <x:c r="V406" s="9" t="str">
        <x:v>W_SKIRTS_AVGPAID_1500_1600_ANNUAL2026.xlsx / 默认 / 第218行 / SHA256 deede8b56943df4f914be45dba170f12e69064023d6ef0e88dbde1764f6ba23e</x:v>
      </x:c>
    </x:row>
    <x:row r="407" ht="58" customHeight="1">
      <x:c r="A407" s="23" t="str">
        <x:v>868052834518</x:v>
      </x:c>
      <x:c r="B407" s="22"/>
      <x:c r="C407" s="22"/>
      <x:c r="D407" s="22"/>
      <x:c r="E407" s="9" t="str">
        <x:v>裙长未明确</x:v>
      </x:c>
      <x:c r="F407" s="9" t="str">
        <x:v>裙装</x:v>
      </x:c>
      <x:c r="G407" s="9" t="str">
        <x:v>半身裙</x:v>
      </x:c>
      <x:c r="H407" s="9" t="str">
        <x:v>女</x:v>
      </x:c>
      <x:c r="I407" s="9" t="str">
        <x:v>YOUWEI有尾2025春季定制石榴蕾丝拼接下摆女半身裙Y5825140</x:v>
      </x:c>
      <x:c r="J407" s="9" t="str">
        <x:v>IIEWUOY</x:v>
      </x:c>
      <x:c r="K407" s="24" t="n">
        <x:v>1555.03</x:v>
      </x:c>
      <x:c r="L407" s="25" t="e">
        <x:f>HYPERLINK("https://item.taobao.com/item.htm?id=868052834518","打开商品")</x:f>
        <x:v>HYPERLINK is not implemented. linkLocation=https://item.taobao.com/item.htm?id=868052834518, friendlyName=打开商品</x:v>
      </x:c>
      <x:c r="M407" s="25" t="e">
        <x:f>HYPERLINK("https://data.zhiyitech.cn/itemDetail/overview/base?itemId=868052834518","打开知衣")</x:f>
        <x:v>HYPERLINK is not implemented. linkLocation=https://data.zhiyitech.cn/itemDetail/overview/base?itemId=868052834518, friendlyName=打开知衣</x:v>
      </x:c>
      <x:c r="N407" s="25" t="e">
        <x:f>HYPERLINK("https://img.alicdn.com/bao/uploaded/i2/2216075049630/O1CN01CnfPAY2L0b8agwLaZ_!!4611686018427386526-0-item_pic.jpg","查看主图")</x:f>
        <x:v>HYPERLINK is not implemented. linkLocation=https://img.alicdn.com/bao/uploaded/i2/2216075049630/O1CN01CnfPAY2L0b8agwLaZ_!!4611686018427386526-0-item_pic.jpg, friendlyName=查看主图</x:v>
      </x:c>
      <x:c r="O407" s="9" t="str">
        <x:v>标题及既有类目语义复核；YOUWEI有尾2025春季定制石榴蕾丝拼接下摆女半身裙Y5825140；原类目及标题已能确认半身裙；展示使用已知大类，未知裙长下沉到结构字段，不强猜长短。</x:v>
      </x:c>
      <x:c r="P407" s="9" t="str">
        <x:v>普通男女装</x:v>
      </x:c>
      <x:c r="Q407" s="9" t="str">
        <x:v>W_SKIRTS_AVGPAID_1500_1600_ANNUAL2026.xlsx</x:v>
      </x:c>
      <x:c r="R407" s="9" t="str">
        <x:v>默认</x:v>
      </x:c>
      <x:c r="S407" s="9" t="n">
        <x:v>290</x:v>
      </x:c>
      <x:c r="T407" s="9" t="str">
        <x:v>deede8b56943df4f914be45dba170f12e69064023d6ef0e88dbde1764f6ba23e</x:v>
      </x:c>
      <x:c r="U407" s="9" t="str">
        <x:v>W_SKIRTS_AVGPAID_1500_1600_ANNUAL2026</x:v>
      </x:c>
      <x:c r="V407" s="9" t="str">
        <x:v>W_SKIRTS_AVGPAID_1500_1600_ANNUAL2026.xlsx / 默认 / 第290行 / SHA256 deede8b56943df4f914be45dba170f12e69064023d6ef0e88dbde1764f6ba23e</x:v>
      </x:c>
    </x:row>
    <x:row r="408" ht="58" customHeight="1">
      <x:c r="A408" s="23" t="str">
        <x:v>948468469945</x:v>
      </x:c>
      <x:c r="B408" s="22"/>
      <x:c r="C408" s="22"/>
      <x:c r="D408" s="22"/>
      <x:c r="E408" s="9" t="str">
        <x:v>裙长未明确</x:v>
      </x:c>
      <x:c r="F408" s="9" t="str">
        <x:v>裙装</x:v>
      </x:c>
      <x:c r="G408" s="9" t="str">
        <x:v>半身裙</x:v>
      </x:c>
      <x:c r="H408" s="9" t="str">
        <x:v>女</x:v>
      </x:c>
      <x:c r="I408" s="9" t="str">
        <x:v>有尾裁片解构印花半裙</x:v>
      </x:c>
      <x:c r="J408" s="9" t="str">
        <x:v>IIEWUOY</x:v>
      </x:c>
      <x:c r="K408" s="24" t="n">
        <x:v>1316.39</x:v>
      </x:c>
      <x:c r="L408" s="25" t="e">
        <x:f>HYPERLINK("https://item.taobao.com/item.htm?id=948468469945","打开商品")</x:f>
        <x:v>HYPERLINK is not implemented. linkLocation=https://item.taobao.com/item.htm?id=948468469945, friendlyName=打开商品</x:v>
      </x:c>
      <x:c r="M408" s="25" t="e">
        <x:f>HYPERLINK("https://data.zhiyitech.cn/itemDetail/overview/base?itemId=948468469945","打开知衣")</x:f>
        <x:v>HYPERLINK is not implemented. linkLocation=https://data.zhiyitech.cn/itemDetail/overview/base?itemId=948468469945, friendlyName=打开知衣</x:v>
      </x:c>
      <x:c r="N408" s="25" t="e">
        <x:f>HYPERLINK("https://img.alicdn.com/bao/uploaded/i4/2216075049630/O1CN01raHoEI2L0bBs1Qp6f_!!4611686018427386526-0-item_pic.jpg","查看主图")</x:f>
        <x:v>HYPERLINK is not implemented. linkLocation=https://img.alicdn.com/bao/uploaded/i4/2216075049630/O1CN01raHoEI2L0bBs1Qp6f_!!4611686018427386526-0-item_pic.jpg, friendlyName=查看主图</x:v>
      </x:c>
      <x:c r="O408" s="9" t="str">
        <x:v>标题及既有类目语义复核；有尾裁片解构印花半裙；原类目及标题已能确认半身裙；展示使用已知大类，未知裙长下沉到结构字段，不强猜长短。</x:v>
      </x:c>
      <x:c r="P408" s="9" t="str">
        <x:v>普通男女装</x:v>
      </x:c>
      <x:c r="Q408" s="9" t="str">
        <x:v>W_SKIRTS_AVGPAID_1300_1400_ANNUAL2026.xlsx</x:v>
      </x:c>
      <x:c r="R408" s="9" t="str">
        <x:v>默认</x:v>
      </x:c>
      <x:c r="S408" s="9" t="n">
        <x:v>368</x:v>
      </x:c>
      <x:c r="T408" s="9" t="str">
        <x:v>bd4dae1e08e9eca7ddd0669235bf59107cdc418b9c2898fc16f36a7ab5748692</x:v>
      </x:c>
      <x:c r="U408" s="9" t="str">
        <x:v>W_SKIRTS_AVGPAID_1300_1400_ANNUAL2026</x:v>
      </x:c>
      <x:c r="V408" s="9" t="str">
        <x:v>W_SKIRTS_AVGPAID_1300_1400_ANNUAL2026.xlsx / 默认 / 第368行 / SHA256 bd4dae1e08e9eca7ddd0669235bf59107cdc418b9c2898fc16f36a7ab5748692</x:v>
      </x:c>
    </x:row>
    <x:row r="409" ht="58" customHeight="1">
      <x:c r="A409" s="23" t="str">
        <x:v>1034891851922</x:v>
      </x:c>
      <x:c r="B409" s="22"/>
      <x:c r="C409" s="22"/>
      <x:c r="D409" s="22"/>
      <x:c r="E409" s="9" t="str">
        <x:v>裙长未明确</x:v>
      </x:c>
      <x:c r="F409" s="9" t="str">
        <x:v>裙装</x:v>
      </x:c>
      <x:c r="G409" s="9" t="str">
        <x:v>半身裙</x:v>
      </x:c>
      <x:c r="H409" s="9" t="str">
        <x:v>女</x:v>
      </x:c>
      <x:c r="I409" s="9" t="str">
        <x:v>YOUWEI有尾2026夏季新品吸色复刻系列半裙Y5826218</x:v>
      </x:c>
      <x:c r="J409" s="9" t="str">
        <x:v>IIEWUOY/有尾</x:v>
      </x:c>
      <x:c r="K409" s="24" t="n">
        <x:v>1585.68</x:v>
      </x:c>
      <x:c r="L409" s="25" t="e">
        <x:f>HYPERLINK("https://item.taobao.com/item.htm?id=1034891851922","打开商品")</x:f>
        <x:v>HYPERLINK is not implemented. linkLocation=https://item.taobao.com/item.htm?id=1034891851922, friendlyName=打开商品</x:v>
      </x:c>
      <x:c r="M409" s="25" t="e">
        <x:f>HYPERLINK("https://data.zhiyitech.cn/itemDetail/overview/base?itemId=1034891851922","打开知衣")</x:f>
        <x:v>HYPERLINK is not implemented. linkLocation=https://data.zhiyitech.cn/itemDetail/overview/base?itemId=1034891851922, friendlyName=打开知衣</x:v>
      </x:c>
      <x:c r="N409" s="25" t="e">
        <x:f>HYPERLINK("https://img.alicdn.com/bao/uploaded/i1/2216075049630/O1CN01zjUBgw2L0bFUWyajN_!!4611686018427386526-0-item_pic.jpg","查看主图")</x:f>
        <x:v>HYPERLINK is not implemented. linkLocation=https://img.alicdn.com/bao/uploaded/i1/2216075049630/O1CN01zjUBgw2L0bFUWyajN_!!4611686018427386526-0-item_pic.jpg, friendlyName=查看主图</x:v>
      </x:c>
      <x:c r="O409" s="9" t="str">
        <x:v>标题及既有类目语义复核；YOUWEI有尾2026夏季新品吸色复刻系列半裙Y5826218；原类目及标题已能确认半身裙；展示使用已知大类，未知裙长下沉到结构字段，不强猜长短。</x:v>
      </x:c>
      <x:c r="P409" s="9" t="str">
        <x:v>普通男女装</x:v>
      </x:c>
      <x:c r="Q409" s="9" t="str">
        <x:v>W_SKIRTS_AVGPAID_1500_1600_ANNUAL2026.xlsx</x:v>
      </x:c>
      <x:c r="R409" s="9" t="str">
        <x:v>默认</x:v>
      </x:c>
      <x:c r="S409" s="9" t="n">
        <x:v>296</x:v>
      </x:c>
      <x:c r="T409" s="9" t="str">
        <x:v>deede8b56943df4f914be45dba170f12e69064023d6ef0e88dbde1764f6ba23e</x:v>
      </x:c>
      <x:c r="U409" s="9" t="str">
        <x:v>W_SKIRTS_AVGPAID_1500_1600_ANNUAL2026</x:v>
      </x:c>
      <x:c r="V409" s="9" t="str">
        <x:v>W_SKIRTS_AVGPAID_1500_1600_ANNUAL2026.xlsx / 默认 / 第296行 / SHA256 deede8b56943df4f914be45dba170f12e69064023d6ef0e88dbde1764f6ba23e</x:v>
      </x:c>
    </x:row>
    <x:row r="410" ht="58" customHeight="1">
      <x:c r="A410" s="23" t="str">
        <x:v>1040936228221</x:v>
      </x:c>
      <x:c r="B410" s="22"/>
      <x:c r="C410" s="22"/>
      <x:c r="D410" s="22"/>
      <x:c r="E410" s="9" t="str">
        <x:v>裙长未明确</x:v>
      </x:c>
      <x:c r="F410" s="9" t="str">
        <x:v>裙装</x:v>
      </x:c>
      <x:c r="G410" s="9" t="str">
        <x:v>半身裙</x:v>
      </x:c>
      <x:c r="H410" s="9" t="str">
        <x:v>女</x:v>
      </x:c>
      <x:c r="I410" s="9" t="str">
        <x:v>YOUWEI有尾2026夏季新品强缩肌理蛋形半裙（含腰带挎包）Y5826243</x:v>
      </x:c>
      <x:c r="J410" s="9" t="str">
        <x:v>IIEWUOY/有尾</x:v>
      </x:c>
      <x:c r="K410" s="24" t="n">
        <x:v>1702.99</x:v>
      </x:c>
      <x:c r="L410" s="25" t="e">
        <x:f>HYPERLINK("https://item.taobao.com/item.htm?id=1040936228221","打开商品")</x:f>
        <x:v>HYPERLINK is not implemented. linkLocation=https://item.taobao.com/item.htm?id=1040936228221, friendlyName=打开商品</x:v>
      </x:c>
      <x:c r="M410" s="25" t="e">
        <x:f>HYPERLINK("https://data.zhiyitech.cn/itemDetail/overview/base?itemId=1040936228221","打开知衣")</x:f>
        <x:v>HYPERLINK is not implemented. linkLocation=https://data.zhiyitech.cn/itemDetail/overview/base?itemId=1040936228221, friendlyName=打开知衣</x:v>
      </x:c>
      <x:c r="N410" s="25" t="e">
        <x:f>HYPERLINK("https://img.alicdn.com/bao/uploaded/i4/2216075049630/O1CN01mWidcT2L0bFbuW8bz_!!4611686018427386526-0-item_pic.jpg","查看主图")</x:f>
        <x:v>HYPERLINK is not implemented. linkLocation=https://img.alicdn.com/bao/uploaded/i4/2216075049630/O1CN01mWidcT2L0bFbuW8bz_!!4611686018427386526-0-item_pic.jpg, friendlyName=查看主图</x:v>
      </x:c>
      <x:c r="O410" s="9" t="str">
        <x:v>标题及既有类目语义复核；YOUWEI有尾2026夏季新品强缩肌理蛋形半裙（含腰带挎包）Y5826243；原类目及标题已能确认半身裙；展示使用已知大类，未知裙长下沉到结构字段，不强猜长短。</x:v>
      </x:c>
      <x:c r="P410" s="9" t="str">
        <x:v>普通男女装</x:v>
      </x:c>
      <x:c r="Q410" s="9" t="str">
        <x:v>W_SKIRTS_AVGPAID_1700_1800_ANNUAL2026.xlsx</x:v>
      </x:c>
      <x:c r="R410" s="9" t="str">
        <x:v>默认</x:v>
      </x:c>
      <x:c r="S410" s="9" t="n">
        <x:v>127</x:v>
      </x:c>
      <x:c r="T410" s="9" t="str">
        <x:v>c25ed77c53c7c5cfcf728778a0e9b297d8689503f62756a939cbd534ca9b587a</x:v>
      </x:c>
      <x:c r="U410" s="9" t="str">
        <x:v>W_SKIRTS_AVGPAID_1700_1800_ANNUAL2026</x:v>
      </x:c>
      <x:c r="V410" s="9" t="str">
        <x:v>W_SKIRTS_AVGPAID_1700_1800_ANNUAL2026.xlsx / 默认 / 第127行 / SHA256 c25ed77c53c7c5cfcf728778a0e9b297d8689503f62756a939cbd534ca9b587a</x:v>
      </x:c>
    </x:row>
    <x:row r="411" ht="58" customHeight="1">
      <x:c r="A411" s="23" t="str">
        <x:v>1061450871456</x:v>
      </x:c>
      <x:c r="B411" s="22"/>
      <x:c r="C411" s="22"/>
      <x:c r="D411" s="22"/>
      <x:c r="E411" s="9" t="str">
        <x:v>裙长未明确</x:v>
      </x:c>
      <x:c r="F411" s="9" t="str">
        <x:v>裙装</x:v>
      </x:c>
      <x:c r="G411" s="9" t="str">
        <x:v>半身裙</x:v>
      </x:c>
      <x:c r="H411" s="9" t="str">
        <x:v>女</x:v>
      </x:c>
      <x:c r="I411" s="9" t="str">
        <x:v>YOUWEI有尾2026秋季新品假两件蕾丝斜边半裙Y5826310</x:v>
      </x:c>
      <x:c r="J411" s="9" t="str">
        <x:v>IIEWUOY/有尾</x:v>
      </x:c>
      <x:c r="K411" s="24" t="n">
        <x:v>1391.77</x:v>
      </x:c>
      <x:c r="L411" s="25" t="e">
        <x:f>HYPERLINK("https://item.taobao.com/item.htm?id=1061450871456","打开商品")</x:f>
        <x:v>HYPERLINK is not implemented. linkLocation=https://item.taobao.com/item.htm?id=1061450871456, friendlyName=打开商品</x:v>
      </x:c>
      <x:c r="M411" s="25" t="e">
        <x:f>HYPERLINK("https://data.zhiyitech.cn/itemDetail/overview/base?itemId=1061450871456","打开知衣")</x:f>
        <x:v>HYPERLINK is not implemented. linkLocation=https://data.zhiyitech.cn/itemDetail/overview/base?itemId=1061450871456, friendlyName=打开知衣</x:v>
      </x:c>
      <x:c r="N411" s="25" t="e">
        <x:f>HYPERLINK("https://img.alicdn.com/bao/uploaded/i3/2216075049630/O1CN01T9ldIk2L0bGR9B0Be_!!4611686018427386526-0-item_pic.jpg","查看主图")</x:f>
        <x:v>HYPERLINK is not implemented. linkLocation=https://img.alicdn.com/bao/uploaded/i3/2216075049630/O1CN01T9ldIk2L0bGR9B0Be_!!4611686018427386526-0-item_pic.jpg, friendlyName=查看主图</x:v>
      </x:c>
      <x:c r="O411" s="9" t="str">
        <x:v>标题及既有类目语义复核；YOUWEI有尾2026秋季新品假两件蕾丝斜边半裙Y5826310；原类目及标题已能确认半身裙；展示使用已知大类，未知裙长下沉到结构字段，不强猜长短。</x:v>
      </x:c>
      <x:c r="P411" s="9" t="str">
        <x:v>普通男女装</x:v>
      </x:c>
      <x:c r="Q411" s="9" t="str">
        <x:v>W_SKIRTS_AVGPAID_1300_1400_ANNUAL2026.xlsx</x:v>
      </x:c>
      <x:c r="R411" s="9" t="str">
        <x:v>默认</x:v>
      </x:c>
      <x:c r="S411" s="9" t="n">
        <x:v>142</x:v>
      </x:c>
      <x:c r="T411" s="9" t="str">
        <x:v>bd4dae1e08e9eca7ddd0669235bf59107cdc418b9c2898fc16f36a7ab5748692</x:v>
      </x:c>
      <x:c r="U411" s="9" t="str">
        <x:v>W_SKIRTS_AVGPAID_1300_1400_ANNUAL2026</x:v>
      </x:c>
      <x:c r="V411" s="9" t="str">
        <x:v>W_SKIRTS_AVGPAID_1300_1400_ANNUAL2026.xlsx / 默认 / 第142行 / SHA256 bd4dae1e08e9eca7ddd0669235bf59107cdc418b9c2898fc16f36a7ab5748692</x:v>
      </x:c>
    </x:row>
    <x:row r="412" ht="58" customHeight="1">
      <x:c r="A412" s="23" t="str">
        <x:v>1061827063247</x:v>
      </x:c>
      <x:c r="B412" s="22"/>
      <x:c r="C412" s="22"/>
      <x:c r="D412" s="22"/>
      <x:c r="E412" s="9" t="str">
        <x:v>裙长未明确</x:v>
      </x:c>
      <x:c r="F412" s="9" t="str">
        <x:v>裙装</x:v>
      </x:c>
      <x:c r="G412" s="9" t="str">
        <x:v>半身裙</x:v>
      </x:c>
      <x:c r="H412" s="9" t="str">
        <x:v>女</x:v>
      </x:c>
      <x:c r="I412" s="9" t="str">
        <x:v>YOUWEI有尾2026秋季新品针织假两件屁帘半裙Y5826321</x:v>
      </x:c>
      <x:c r="J412" s="9" t="str">
        <x:v>IIEWUOY/有尾</x:v>
      </x:c>
      <x:c r="K412" s="24" t="n">
        <x:v>1597.19</x:v>
      </x:c>
      <x:c r="L412" s="25" t="e">
        <x:f>HYPERLINK("https://item.taobao.com/item.htm?id=1061827063247","打开商品")</x:f>
        <x:v>HYPERLINK is not implemented. linkLocation=https://item.taobao.com/item.htm?id=1061827063247, friendlyName=打开商品</x:v>
      </x:c>
      <x:c r="M412" s="25" t="e">
        <x:f>HYPERLINK("https://data.zhiyitech.cn/itemDetail/overview/base?itemId=1061827063247","打开知衣")</x:f>
        <x:v>HYPERLINK is not implemented. linkLocation=https://data.zhiyitech.cn/itemDetail/overview/base?itemId=1061827063247, friendlyName=打开知衣</x:v>
      </x:c>
      <x:c r="N412" s="25" t="e">
        <x:f>HYPERLINK("https://img.alicdn.com/bao/uploaded/i3/2216075049630/O1CN01Qnkgam2L0bGTqFIhK_!!4611686018427386526-0-item_pic.jpg","查看主图")</x:f>
        <x:v>HYPERLINK is not implemented. linkLocation=https://img.alicdn.com/bao/uploaded/i3/2216075049630/O1CN01Qnkgam2L0bGTqFIhK_!!4611686018427386526-0-item_pic.jpg, friendlyName=查看主图</x:v>
      </x:c>
      <x:c r="O412" s="9" t="str">
        <x:v>标题及既有类目语义复核；YOUWEI有尾2026秋季新品针织假两件屁帘半裙Y5826321；原类目及标题已能确认半身裙；展示使用已知大类，未知裙长下沉到结构字段，不强猜长短。</x:v>
      </x:c>
      <x:c r="P412" s="9" t="str">
        <x:v>普通男女装</x:v>
      </x:c>
      <x:c r="Q412" s="9" t="str">
        <x:v>W_SKIRTS_AVGPAID_1500_1600_ANNUAL2026.xlsx</x:v>
      </x:c>
      <x:c r="R412" s="9" t="str">
        <x:v>默认</x:v>
      </x:c>
      <x:c r="S412" s="9" t="n">
        <x:v>337</x:v>
      </x:c>
      <x:c r="T412" s="9" t="str">
        <x:v>deede8b56943df4f914be45dba170f12e69064023d6ef0e88dbde1764f6ba23e</x:v>
      </x:c>
      <x:c r="U412" s="9" t="str">
        <x:v>W_SKIRTS_AVGPAID_1500_1600_ANNUAL2026</x:v>
      </x:c>
      <x:c r="V412" s="9" t="str">
        <x:v>W_SKIRTS_AVGPAID_1500_1600_ANNUAL2026.xlsx / 默认 / 第337行 / SHA256 deede8b56943df4f914be45dba170f12e69064023d6ef0e88dbde1764f6ba23e</x:v>
      </x:c>
    </x:row>
    <x:row r="413" ht="58" customHeight="1">
      <x:c r="A413" s="23" t="str">
        <x:v>907670215724</x:v>
      </x:c>
      <x:c r="B413" s="22"/>
      <x:c r="C413" s="22"/>
      <x:c r="D413" s="22"/>
      <x:c r="E413" s="9" t="str">
        <x:v>裙长未明确</x:v>
      </x:c>
      <x:c r="F413" s="9" t="str">
        <x:v>裙装</x:v>
      </x:c>
      <x:c r="G413" s="9" t="str">
        <x:v>半身裙</x:v>
      </x:c>
      <x:c r="H413" s="9" t="str">
        <x:v>女</x:v>
      </x:c>
      <x:c r="I413" s="9" t="str">
        <x:v>YOUWEI有尾2025夏季办公室错视印花小A半裙Y5825213</x:v>
      </x:c>
      <x:c r="J413" s="9" t="str">
        <x:v>IIEWUOY/有尾</x:v>
      </x:c>
      <x:c r="K413" s="24" t="n">
        <x:v>1351</x:v>
      </x:c>
      <x:c r="L413" s="25" t="e">
        <x:f>HYPERLINK("https://item.taobao.com/item.htm?id=907670215724","打开商品")</x:f>
        <x:v>HYPERLINK is not implemented. linkLocation=https://item.taobao.com/item.htm?id=907670215724, friendlyName=打开商品</x:v>
      </x:c>
      <x:c r="M413" s="25" t="e">
        <x:f>HYPERLINK("https://data.zhiyitech.cn/itemDetail/overview/base?itemId=907670215724","打开知衣")</x:f>
        <x:v>HYPERLINK is not implemented. linkLocation=https://data.zhiyitech.cn/itemDetail/overview/base?itemId=907670215724, friendlyName=打开知衣</x:v>
      </x:c>
      <x:c r="N413" s="25" t="e">
        <x:f>HYPERLINK("https://img.alicdn.com/bao/uploaded/i3/2216075049630/O1CN01FSVm8d2L0bA1j4vbU_!!4611686018427386526-0-item_pic.jpg","查看主图")</x:f>
        <x:v>HYPERLINK is not implemented. linkLocation=https://img.alicdn.com/bao/uploaded/i3/2216075049630/O1CN01FSVm8d2L0bA1j4vbU_!!4611686018427386526-0-item_pic.jpg, friendlyName=查看主图</x:v>
      </x:c>
      <x:c r="O413" s="9" t="str">
        <x:v>标题及既有类目语义复核；YOUWEI有尾2025夏季办公室错视印花小A半裙Y5825213；原类目及标题已能确认半身裙；展示使用已知大类，未知裙长下沉到结构字段，不强猜长短。</x:v>
      </x:c>
      <x:c r="P413" s="9" t="str">
        <x:v>普通男女装</x:v>
      </x:c>
      <x:c r="Q413" s="9" t="str">
        <x:v>W_SKIRTS_AVGPAID_1300_1400_ANNUAL2026.xlsx</x:v>
      </x:c>
      <x:c r="R413" s="9" t="str">
        <x:v>默认</x:v>
      </x:c>
      <x:c r="S413" s="9" t="n">
        <x:v>359</x:v>
      </x:c>
      <x:c r="T413" s="9" t="str">
        <x:v>bd4dae1e08e9eca7ddd0669235bf59107cdc418b9c2898fc16f36a7ab5748692</x:v>
      </x:c>
      <x:c r="U413" s="9" t="str">
        <x:v>W_SKIRTS_AVGPAID_1300_1400_ANNUAL2026</x:v>
      </x:c>
      <x:c r="V413" s="9" t="str">
        <x:v>W_SKIRTS_AVGPAID_1300_1400_ANNUAL2026.xlsx / 默认 / 第359行 / SHA256 bd4dae1e08e9eca7ddd0669235bf59107cdc418b9c2898fc16f36a7ab5748692</x:v>
      </x:c>
    </x:row>
    <x:row r="414" ht="58" customHeight="1">
      <x:c r="A414" s="23" t="str">
        <x:v>911306222856</x:v>
      </x:c>
      <x:c r="B414" s="22"/>
      <x:c r="C414" s="22"/>
      <x:c r="D414" s="22"/>
      <x:c r="E414" s="9" t="str">
        <x:v>裙长未明确</x:v>
      </x:c>
      <x:c r="F414" s="9" t="str">
        <x:v>裙装</x:v>
      </x:c>
      <x:c r="G414" s="9" t="str">
        <x:v>半身裙</x:v>
      </x:c>
      <x:c r="H414" s="9" t="str">
        <x:v>女</x:v>
      </x:c>
      <x:c r="I414" s="9" t="str">
        <x:v>YOUWEI有尾2024冬季撞色边衬衫复合毛织伞裙女半身裙Y5824410</x:v>
      </x:c>
      <x:c r="J414" s="9" t="str">
        <x:v>IIEWUOY/有尾</x:v>
      </x:c>
      <x:c r="K414" s="24" t="n">
        <x:v>1534.62</x:v>
      </x:c>
      <x:c r="L414" s="25" t="e">
        <x:f>HYPERLINK("https://item.taobao.com/item.htm?id=911306222856","打开商品")</x:f>
        <x:v>HYPERLINK is not implemented. linkLocation=https://item.taobao.com/item.htm?id=911306222856, friendlyName=打开商品</x:v>
      </x:c>
      <x:c r="M414" s="25" t="e">
        <x:f>HYPERLINK("https://data.zhiyitech.cn/itemDetail/overview/base?itemId=911306222856","打开知衣")</x:f>
        <x:v>HYPERLINK is not implemented. linkLocation=https://data.zhiyitech.cn/itemDetail/overview/base?itemId=911306222856, friendlyName=打开知衣</x:v>
      </x:c>
      <x:c r="N414" s="25" t="e">
        <x:f>HYPERLINK("https://img.alicdn.com/bao/uploaded/i2/2215817065440/O1CN01WmI7Hl1q3Ze7tuxxH_!!2215817065440.jpg","查看主图")</x:f>
        <x:v>HYPERLINK is not implemented. linkLocation=https://img.alicdn.com/bao/uploaded/i2/2215817065440/O1CN01WmI7Hl1q3Ze7tuxxH_!!2215817065440.jpg, friendlyName=查看主图</x:v>
      </x:c>
      <x:c r="O414" s="9" t="str">
        <x:v>标题及既有类目语义复核；YOUWEI有尾2024冬季撞色边衬衫复合毛织伞裙女半身裙Y5824410；原类目及标题已能确认半身裙；展示使用已知大类，未知裙长下沉到结构字段，不强猜长短。</x:v>
      </x:c>
      <x:c r="P414" s="9" t="str">
        <x:v>普通男女装</x:v>
      </x:c>
      <x:c r="Q414" s="9" t="str">
        <x:v>W_SKIRTS_AVGPAID_1500_1600_ANNUAL2026.xlsx</x:v>
      </x:c>
      <x:c r="R414" s="9" t="str">
        <x:v>默认</x:v>
      </x:c>
      <x:c r="S414" s="9" t="n">
        <x:v>374</x:v>
      </x:c>
      <x:c r="T414" s="9" t="str">
        <x:v>deede8b56943df4f914be45dba170f12e69064023d6ef0e88dbde1764f6ba23e</x:v>
      </x:c>
      <x:c r="U414" s="9" t="str">
        <x:v>W_SKIRTS_AVGPAID_1500_1600_ANNUAL2026</x:v>
      </x:c>
      <x:c r="V414" s="9" t="str">
        <x:v>W_SKIRTS_AVGPAID_1500_1600_ANNUAL2026.xlsx / 默认 / 第374行 / SHA256 deede8b56943df4f914be45dba170f12e69064023d6ef0e88dbde1764f6ba23e</x:v>
      </x:c>
    </x:row>
    <x:row r="415" ht="58" customHeight="1">
      <x:c r="A415" s="23" t="str">
        <x:v>915140482176</x:v>
      </x:c>
      <x:c r="B415" s="22"/>
      <x:c r="C415" s="22"/>
      <x:c r="D415" s="22"/>
      <x:c r="E415" s="9" t="str">
        <x:v>裙长未明确</x:v>
      </x:c>
      <x:c r="F415" s="9" t="str">
        <x:v>裙装</x:v>
      </x:c>
      <x:c r="G415" s="9" t="str">
        <x:v>半身裙</x:v>
      </x:c>
      <x:c r="H415" s="9" t="str">
        <x:v>女</x:v>
      </x:c>
      <x:c r="I415" s="9" t="str">
        <x:v>有尾主题面条盘花绣半裙</x:v>
      </x:c>
      <x:c r="J415" s="9" t="str">
        <x:v>IIEWUOY/有尾</x:v>
      </x:c>
      <x:c r="K415" s="24" t="n">
        <x:v>1309.49</x:v>
      </x:c>
      <x:c r="L415" s="25" t="e">
        <x:f>HYPERLINK("https://item.taobao.com/item.htm?id=915140482176","打开商品")</x:f>
        <x:v>HYPERLINK is not implemented. linkLocation=https://item.taobao.com/item.htm?id=915140482176, friendlyName=打开商品</x:v>
      </x:c>
      <x:c r="M415" s="25" t="e">
        <x:f>HYPERLINK("https://data.zhiyitech.cn/itemDetail/overview/base?itemId=915140482176","打开知衣")</x:f>
        <x:v>HYPERLINK is not implemented. linkLocation=https://data.zhiyitech.cn/itemDetail/overview/base?itemId=915140482176, friendlyName=打开知衣</x:v>
      </x:c>
      <x:c r="N415" s="25" t="e">
        <x:f>HYPERLINK("https://img.alicdn.com/bao/uploaded/i4/2216075049630/O1CN01SnJhK12L0bAJR9gEf_!!4611686018427386526-0-item_pic.jpg","查看主图")</x:f>
        <x:v>HYPERLINK is not implemented. linkLocation=https://img.alicdn.com/bao/uploaded/i4/2216075049630/O1CN01SnJhK12L0bAJR9gEf_!!4611686018427386526-0-item_pic.jpg, friendlyName=查看主图</x:v>
      </x:c>
      <x:c r="O415" s="9" t="str">
        <x:v>标题及既有类目语义复核；有尾主题面条盘花绣半裙；原类目及标题已能确认半身裙；展示使用已知大类，未知裙长下沉到结构字段，不强猜长短。</x:v>
      </x:c>
      <x:c r="P415" s="9" t="str">
        <x:v>普通男女装</x:v>
      </x:c>
      <x:c r="Q415" s="9" t="str">
        <x:v>W_SKIRTS_AVGPAID_1300_1400_ANNUAL2026.xlsx</x:v>
      </x:c>
      <x:c r="R415" s="9" t="str">
        <x:v>默认</x:v>
      </x:c>
      <x:c r="S415" s="9" t="n">
        <x:v>307</x:v>
      </x:c>
      <x:c r="T415" s="9" t="str">
        <x:v>bd4dae1e08e9eca7ddd0669235bf59107cdc418b9c2898fc16f36a7ab5748692</x:v>
      </x:c>
      <x:c r="U415" s="9" t="str">
        <x:v>W_SKIRTS_AVGPAID_1300_1400_ANNUAL2026</x:v>
      </x:c>
      <x:c r="V415" s="9" t="str">
        <x:v>W_SKIRTS_AVGPAID_1300_1400_ANNUAL2026.xlsx / 默认 / 第307行 / SHA256 bd4dae1e08e9eca7ddd0669235bf59107cdc418b9c2898fc16f36a7ab5748692</x:v>
      </x:c>
    </x:row>
    <x:row r="416" ht="58" customHeight="1">
      <x:c r="A416" s="23" t="str">
        <x:v>920312750888</x:v>
      </x:c>
      <x:c r="B416" s="22"/>
      <x:c r="C416" s="22"/>
      <x:c r="D416" s="22"/>
      <x:c r="E416" s="9" t="str">
        <x:v>裙长未明确</x:v>
      </x:c>
      <x:c r="F416" s="9" t="str">
        <x:v>裙装</x:v>
      </x:c>
      <x:c r="G416" s="9" t="str">
        <x:v>半身裙</x:v>
      </x:c>
      <x:c r="H416" s="9" t="str">
        <x:v>女</x:v>
      </x:c>
      <x:c r="I416" s="9" t="str">
        <x:v>YOUWEI有尾2025夏季蕾丝两件式半裙Y5825228</x:v>
      </x:c>
      <x:c r="J416" s="9" t="str">
        <x:v>IIEWUOY/有尾</x:v>
      </x:c>
      <x:c r="K416" s="24" t="n">
        <x:v>1320.22</x:v>
      </x:c>
      <x:c r="L416" s="25" t="e">
        <x:f>HYPERLINK("https://item.taobao.com/item.htm?id=920312750888","打开商品")</x:f>
        <x:v>HYPERLINK is not implemented. linkLocation=https://item.taobao.com/item.htm?id=920312750888, friendlyName=打开商品</x:v>
      </x:c>
      <x:c r="M416" s="25" t="e">
        <x:f>HYPERLINK("https://data.zhiyitech.cn/itemDetail/overview/base?itemId=920312750888","打开知衣")</x:f>
        <x:v>HYPERLINK is not implemented. linkLocation=https://data.zhiyitech.cn/itemDetail/overview/base?itemId=920312750888, friendlyName=打开知衣</x:v>
      </x:c>
      <x:c r="N416" s="25" t="e">
        <x:f>HYPERLINK("https://img.alicdn.com/bao/uploaded/i2/2216075049630/O1CN01mhmHr22L0bAKBy4GP_!!4611686018427386526-0-item_pic.jpg","查看主图")</x:f>
        <x:v>HYPERLINK is not implemented. linkLocation=https://img.alicdn.com/bao/uploaded/i2/2216075049630/O1CN01mhmHr22L0bAKBy4GP_!!4611686018427386526-0-item_pic.jpg, friendlyName=查看主图</x:v>
      </x:c>
      <x:c r="O416" s="9" t="str">
        <x:v>标题及既有类目语义复核；YOUWEI有尾2025夏季蕾丝两件式半裙Y5825228；原类目及标题已能确认半身裙；展示使用已知大类，未知裙长下沉到结构字段，不强猜长短。</x:v>
      </x:c>
      <x:c r="P416" s="9" t="str">
        <x:v>普通男女装</x:v>
      </x:c>
      <x:c r="Q416" s="9" t="str">
        <x:v>W_SKIRTS_AVGPAID_1300_1400_ANNUAL2026.xlsx</x:v>
      </x:c>
      <x:c r="R416" s="9" t="str">
        <x:v>默认</x:v>
      </x:c>
      <x:c r="S416" s="9" t="n">
        <x:v>374</x:v>
      </x:c>
      <x:c r="T416" s="9" t="str">
        <x:v>bd4dae1e08e9eca7ddd0669235bf59107cdc418b9c2898fc16f36a7ab5748692</x:v>
      </x:c>
      <x:c r="U416" s="9" t="str">
        <x:v>W_SKIRTS_AVGPAID_1300_1400_ANNUAL2026</x:v>
      </x:c>
      <x:c r="V416" s="9" t="str">
        <x:v>W_SKIRTS_AVGPAID_1300_1400_ANNUAL2026.xlsx / 默认 / 第374行 / SHA256 bd4dae1e08e9eca7ddd0669235bf59107cdc418b9c2898fc16f36a7ab5748692</x:v>
      </x:c>
    </x:row>
    <x:row r="417" ht="58" customHeight="1">
      <x:c r="A417" s="23" t="str">
        <x:v>922011287551</x:v>
      </x:c>
      <x:c r="B417" s="22"/>
      <x:c r="C417" s="22"/>
      <x:c r="D417" s="22"/>
      <x:c r="E417" s="9" t="str">
        <x:v>裙长未明确</x:v>
      </x:c>
      <x:c r="F417" s="9" t="str">
        <x:v>裙装</x:v>
      </x:c>
      <x:c r="G417" s="9" t="str">
        <x:v>半身裙</x:v>
      </x:c>
      <x:c r="H417" s="9" t="str">
        <x:v>女</x:v>
      </x:c>
      <x:c r="I417" s="9" t="str">
        <x:v>YOUWEI有尾2025夏季记忆金属丝结构半裙Y5825240</x:v>
      </x:c>
      <x:c r="J417" s="9" t="str">
        <x:v>IIEWUOY/有尾</x:v>
      </x:c>
      <x:c r="K417" s="24" t="n">
        <x:v>1338.91</x:v>
      </x:c>
      <x:c r="L417" s="25" t="e">
        <x:f>HYPERLINK("https://item.taobao.com/item.htm?id=922011287551","打开商品")</x:f>
        <x:v>HYPERLINK is not implemented. linkLocation=https://item.taobao.com/item.htm?id=922011287551, friendlyName=打开商品</x:v>
      </x:c>
      <x:c r="M417" s="25" t="e">
        <x:f>HYPERLINK("https://data.zhiyitech.cn/itemDetail/overview/base?itemId=922011287551","打开知衣")</x:f>
        <x:v>HYPERLINK is not implemented. linkLocation=https://data.zhiyitech.cn/itemDetail/overview/base?itemId=922011287551, friendlyName=打开知衣</x:v>
      </x:c>
      <x:c r="N417" s="25" t="e">
        <x:f>HYPERLINK("https://img.alicdn.com/bao/uploaded/i1/2216075049630/O1CN01yJtgV82L0bAtWnCnM_!!4611686018427386526-0-item_pic.jpg","查看主图")</x:f>
        <x:v>HYPERLINK is not implemented. linkLocation=https://img.alicdn.com/bao/uploaded/i1/2216075049630/O1CN01yJtgV82L0bAtWnCnM_!!4611686018427386526-0-item_pic.jpg, friendlyName=查看主图</x:v>
      </x:c>
      <x:c r="O417" s="9" t="str">
        <x:v>标题及既有类目语义复核；YOUWEI有尾2025夏季记忆金属丝结构半裙Y5825240；原类目及标题已能确认半身裙；展示使用已知大类，未知裙长下沉到结构字段，不强猜长短。</x:v>
      </x:c>
      <x:c r="P417" s="9" t="str">
        <x:v>普通男女装</x:v>
      </x:c>
      <x:c r="Q417" s="9" t="str">
        <x:v>W_SKIRTS_AVGPAID_1300_1400_ANNUAL2026.xlsx</x:v>
      </x:c>
      <x:c r="R417" s="9" t="str">
        <x:v>默认</x:v>
      </x:c>
      <x:c r="S417" s="9" t="n">
        <x:v>243</x:v>
      </x:c>
      <x:c r="T417" s="9" t="str">
        <x:v>bd4dae1e08e9eca7ddd0669235bf59107cdc418b9c2898fc16f36a7ab5748692</x:v>
      </x:c>
      <x:c r="U417" s="9" t="str">
        <x:v>W_SKIRTS_AVGPAID_1300_1400_ANNUAL2026</x:v>
      </x:c>
      <x:c r="V417" s="9" t="str">
        <x:v>W_SKIRTS_AVGPAID_1300_1400_ANNUAL2026.xlsx / 默认 / 第243行 / SHA256 bd4dae1e08e9eca7ddd0669235bf59107cdc418b9c2898fc16f36a7ab5748692</x:v>
      </x:c>
    </x:row>
    <x:row r="418" ht="58" customHeight="1">
      <x:c r="A418" s="23" t="str">
        <x:v>922014507691</x:v>
      </x:c>
      <x:c r="B418" s="22"/>
      <x:c r="C418" s="22"/>
      <x:c r="D418" s="22"/>
      <x:c r="E418" s="9" t="str">
        <x:v>裙长未明确</x:v>
      </x:c>
      <x:c r="F418" s="9" t="str">
        <x:v>裙装</x:v>
      </x:c>
      <x:c r="G418" s="9" t="str">
        <x:v>半身裙</x:v>
      </x:c>
      <x:c r="H418" s="9" t="str">
        <x:v>女</x:v>
      </x:c>
      <x:c r="I418" s="9" t="str">
        <x:v>有尾记忆金属丝抽皱半裙</x:v>
      </x:c>
      <x:c r="J418" s="9" t="str">
        <x:v>IIEWUOY/有尾</x:v>
      </x:c>
      <x:c r="K418" s="24" t="n">
        <x:v>1765.07</x:v>
      </x:c>
      <x:c r="L418" s="25" t="e">
        <x:f>HYPERLINK("https://item.taobao.com/item.htm?id=922014507691","打开商品")</x:f>
        <x:v>HYPERLINK is not implemented. linkLocation=https://item.taobao.com/item.htm?id=922014507691, friendlyName=打开商品</x:v>
      </x:c>
      <x:c r="M418" s="25" t="e">
        <x:f>HYPERLINK("https://data.zhiyitech.cn/itemDetail/overview/base?itemId=922014507691","打开知衣")</x:f>
        <x:v>HYPERLINK is not implemented. linkLocation=https://data.zhiyitech.cn/itemDetail/overview/base?itemId=922014507691, friendlyName=打开知衣</x:v>
      </x:c>
      <x:c r="N418" s="25" t="e">
        <x:f>HYPERLINK("https://img.alicdn.com/bao/uploaded/i1/2216075049630/O1CN014ADViV2L0bAmKyQGz_!!4611686018427386526-0-item_pic.jpg","查看主图")</x:f>
        <x:v>HYPERLINK is not implemented. linkLocation=https://img.alicdn.com/bao/uploaded/i1/2216075049630/O1CN014ADViV2L0bAmKyQGz_!!4611686018427386526-0-item_pic.jpg, friendlyName=查看主图</x:v>
      </x:c>
      <x:c r="O418" s="9" t="str">
        <x:v>标题及既有类目语义复核；有尾记忆金属丝抽皱半裙；原类目及标题已能确认半身裙；展示使用已知大类，未知裙长下沉到结构字段，不强猜长短。</x:v>
      </x:c>
      <x:c r="P418" s="9" t="str">
        <x:v>普通男女装</x:v>
      </x:c>
      <x:c r="Q418" s="9" t="str">
        <x:v>W_SKIRTS_AVGPAID_1700_1800_ANNUAL2026.xlsx</x:v>
      </x:c>
      <x:c r="R418" s="9" t="str">
        <x:v>默认</x:v>
      </x:c>
      <x:c r="S418" s="9" t="n">
        <x:v>386</x:v>
      </x:c>
      <x:c r="T418" s="9" t="str">
        <x:v>c25ed77c53c7c5cfcf728778a0e9b297d8689503f62756a939cbd534ca9b587a</x:v>
      </x:c>
      <x:c r="U418" s="9" t="str">
        <x:v>W_SKIRTS_AVGPAID_1700_1800_ANNUAL2026</x:v>
      </x:c>
      <x:c r="V418" s="9" t="str">
        <x:v>W_SKIRTS_AVGPAID_1700_1800_ANNUAL2026.xlsx / 默认 / 第386行 / SHA256 c25ed77c53c7c5cfcf728778a0e9b297d8689503f62756a939cbd534ca9b587a</x:v>
      </x:c>
    </x:row>
    <x:row r="419" ht="58" customHeight="1">
      <x:c r="A419" s="23" t="str">
        <x:v>924670032815</x:v>
      </x:c>
      <x:c r="B419" s="22"/>
      <x:c r="C419" s="22"/>
      <x:c r="D419" s="22"/>
      <x:c r="E419" s="9" t="str">
        <x:v>裙长未明确</x:v>
      </x:c>
      <x:c r="F419" s="9" t="str">
        <x:v>裙装</x:v>
      </x:c>
      <x:c r="G419" s="9" t="str">
        <x:v>半身裙</x:v>
      </x:c>
      <x:c r="H419" s="9" t="str">
        <x:v>女</x:v>
      </x:c>
      <x:c r="I419" s="9" t="str">
        <x:v>有尾色报纸印花流苏真丝半裙</x:v>
      </x:c>
      <x:c r="J419" s="9" t="str">
        <x:v>IIEWUOY/有尾</x:v>
      </x:c>
      <x:c r="K419" s="24" t="n">
        <x:v>1331.06</x:v>
      </x:c>
      <x:c r="L419" s="25" t="e">
        <x:f>HYPERLINK("https://item.taobao.com/item.htm?id=924670032815","打开商品")</x:f>
        <x:v>HYPERLINK is not implemented. linkLocation=https://item.taobao.com/item.htm?id=924670032815, friendlyName=打开商品</x:v>
      </x:c>
      <x:c r="M419" s="25" t="e">
        <x:f>HYPERLINK("https://data.zhiyitech.cn/itemDetail/overview/base?itemId=924670032815","打开知衣")</x:f>
        <x:v>HYPERLINK is not implemented. linkLocation=https://data.zhiyitech.cn/itemDetail/overview/base?itemId=924670032815, friendlyName=打开知衣</x:v>
      </x:c>
      <x:c r="N419" s="25" t="e">
        <x:f>HYPERLINK("https://img.alicdn.com/bao/uploaded/i2/2216075049630/O1CN014w9rnK2L0bAwLF3cw_!!4611686018427386526-0-item_pic.jpg","查看主图")</x:f>
        <x:v>HYPERLINK is not implemented. linkLocation=https://img.alicdn.com/bao/uploaded/i2/2216075049630/O1CN014w9rnK2L0bAwLF3cw_!!4611686018427386526-0-item_pic.jpg, friendlyName=查看主图</x:v>
      </x:c>
      <x:c r="O419" s="9" t="str">
        <x:v>标题及既有类目语义复核；有尾色报纸印花流苏真丝半裙；原类目及标题已能确认半身裙；展示使用已知大类，未知裙长下沉到结构字段，不强猜长短。</x:v>
      </x:c>
      <x:c r="P419" s="9" t="str">
        <x:v>普通男女装</x:v>
      </x:c>
      <x:c r="Q419" s="9" t="str">
        <x:v>W_SKIRTS_AVGPAID_1300_1400_ANNUAL2026.xlsx</x:v>
      </x:c>
      <x:c r="R419" s="9" t="str">
        <x:v>默认</x:v>
      </x:c>
      <x:c r="S419" s="9" t="n">
        <x:v>241</x:v>
      </x:c>
      <x:c r="T419" s="9" t="str">
        <x:v>bd4dae1e08e9eca7ddd0669235bf59107cdc418b9c2898fc16f36a7ab5748692</x:v>
      </x:c>
      <x:c r="U419" s="9" t="str">
        <x:v>W_SKIRTS_AVGPAID_1300_1400_ANNUAL2026</x:v>
      </x:c>
      <x:c r="V419" s="9" t="str">
        <x:v>W_SKIRTS_AVGPAID_1300_1400_ANNUAL2026.xlsx / 默认 / 第241行 / SHA256 bd4dae1e08e9eca7ddd0669235bf59107cdc418b9c2898fc16f36a7ab5748692</x:v>
      </x:c>
    </x:row>
    <x:row r="420" ht="58" customHeight="1">
      <x:c r="A420" s="23" t="str">
        <x:v>982719439838</x:v>
      </x:c>
      <x:c r="B420" s="22"/>
      <x:c r="C420" s="22"/>
      <x:c r="D420" s="22"/>
      <x:c r="E420" s="9" t="str">
        <x:v>裙长未明确</x:v>
      </x:c>
      <x:c r="F420" s="9" t="str">
        <x:v>裙装</x:v>
      </x:c>
      <x:c r="G420" s="9" t="str">
        <x:v>半身裙</x:v>
      </x:c>
      <x:c r="H420" s="9" t="str">
        <x:v>女</x:v>
      </x:c>
      <x:c r="I420" s="9" t="str">
        <x:v>有尾外露撞色褶摆包臀半裙</x:v>
      </x:c>
      <x:c r="J420" s="9" t="str">
        <x:v>IIEWUOY/有尾</x:v>
      </x:c>
      <x:c r="K420" s="24" t="n">
        <x:v>1314.66</x:v>
      </x:c>
      <x:c r="L420" s="25" t="e">
        <x:f>HYPERLINK("https://item.taobao.com/item.htm?id=982719439838","打开商品")</x:f>
        <x:v>HYPERLINK is not implemented. linkLocation=https://item.taobao.com/item.htm?id=982719439838, friendlyName=打开商品</x:v>
      </x:c>
      <x:c r="M420" s="25" t="e">
        <x:f>HYPERLINK("https://data.zhiyitech.cn/itemDetail/overview/base?itemId=982719439838","打开知衣")</x:f>
        <x:v>HYPERLINK is not implemented. linkLocation=https://data.zhiyitech.cn/itemDetail/overview/base?itemId=982719439838, friendlyName=打开知衣</x:v>
      </x:c>
      <x:c r="N420" s="25" t="e">
        <x:f>HYPERLINK("https://img.alicdn.com/bao/uploaded/i4/2216075049630/O1CN01CixpV42L0bDKZmA9e_!!4611686018427386526-0-item_pic.jpg","查看主图")</x:f>
        <x:v>HYPERLINK is not implemented. linkLocation=https://img.alicdn.com/bao/uploaded/i4/2216075049630/O1CN01CixpV42L0bDKZmA9e_!!4611686018427386526-0-item_pic.jpg, friendlyName=查看主图</x:v>
      </x:c>
      <x:c r="O420" s="9" t="str">
        <x:v>标题及既有类目语义复核；有尾外露撞色褶摆包臀半裙；原类目及标题已能确认半身裙；展示使用已知大类，未知裙长下沉到结构字段，不强猜长短。</x:v>
      </x:c>
      <x:c r="P420" s="9" t="str">
        <x:v>普通男女装</x:v>
      </x:c>
      <x:c r="Q420" s="9" t="str">
        <x:v>W_SKIRTS_AVGPAID_1300_1400_ANNUAL2026.xlsx</x:v>
      </x:c>
      <x:c r="R420" s="9" t="str">
        <x:v>默认</x:v>
      </x:c>
      <x:c r="S420" s="9" t="n">
        <x:v>451</x:v>
      </x:c>
      <x:c r="T420" s="9" t="str">
        <x:v>bd4dae1e08e9eca7ddd0669235bf59107cdc418b9c2898fc16f36a7ab5748692</x:v>
      </x:c>
      <x:c r="U420" s="9" t="str">
        <x:v>W_SKIRTS_AVGPAID_1300_1400_ANNUAL2026</x:v>
      </x:c>
      <x:c r="V420" s="9" t="str">
        <x:v>W_SKIRTS_AVGPAID_1300_1400_ANNUAL2026.xlsx / 默认 / 第451行 / SHA256 bd4dae1e08e9eca7ddd0669235bf59107cdc418b9c2898fc16f36a7ab5748692</x:v>
      </x:c>
    </x:row>
    <x:row r="421" ht="58" customHeight="1">
      <x:c r="A421" s="23" t="str">
        <x:v>1015344633369</x:v>
      </x:c>
      <x:c r="B421" s="22"/>
      <x:c r="C421" s="22"/>
      <x:c r="D421" s="22"/>
      <x:c r="E421" s="9" t="str">
        <x:v>裙长未明确</x:v>
      </x:c>
      <x:c r="F421" s="9" t="str">
        <x:v>裙装</x:v>
      </x:c>
      <x:c r="G421" s="9" t="str">
        <x:v>半身裙</x:v>
      </x:c>
      <x:c r="H421" s="9" t="str">
        <x:v>女</x:v>
      </x:c>
      <x:c r="I421" s="9" t="str">
        <x:v>IIIVIVINIKO2026春新款日常A字抽绳百褶半裙女M610738118B</x:v>
      </x:c>
      <x:c r="J421" s="9" t="str">
        <x:v>IIIVIVINIKO</x:v>
      </x:c>
      <x:c r="K421" s="24" t="n">
        <x:v>1589.76</x:v>
      </x:c>
      <x:c r="L421" s="25" t="e">
        <x:f>HYPERLINK("https://item.taobao.com/item.htm?id=1015344633369","打开商品")</x:f>
        <x:v>HYPERLINK is not implemented. linkLocation=https://item.taobao.com/item.htm?id=1015344633369, friendlyName=打开商品</x:v>
      </x:c>
      <x:c r="M421" s="25" t="e">
        <x:f>HYPERLINK("https://data.zhiyitech.cn/itemDetail/overview/base?itemId=1015344633369","打开知衣")</x:f>
        <x:v>HYPERLINK is not implemented. linkLocation=https://data.zhiyitech.cn/itemDetail/overview/base?itemId=1015344633369, friendlyName=打开知衣</x:v>
      </x:c>
      <x:c r="N421" s="25" t="e">
        <x:f>HYPERLINK("https://img.alicdn.com/bao/uploaded/i4/1706908345/O1CN01t2YAFxDuVSF2vH2e-1706908345.jpg","查看主图")</x:f>
        <x:v>HYPERLINK is not implemented. linkLocation=https://img.alicdn.com/bao/uploaded/i4/1706908345/O1CN01t2YAFxDuVSF2vH2e-1706908345.jpg, friendlyName=查看主图</x:v>
      </x:c>
      <x:c r="O421" s="9" t="str">
        <x:v>标题及既有类目语义复核；IIIVIVINIKO2026春新款日常A字抽绳百褶半裙女M610738118B；原类目及标题已能确认半身裙；展示使用已知大类，未知裙长下沉到结构字段，不强猜长短。</x:v>
      </x:c>
      <x:c r="P421" s="9" t="str">
        <x:v>普通男女装</x:v>
      </x:c>
      <x:c r="Q421" s="9" t="str">
        <x:v>W_SKIRTS_AVGPAID_1500_1600_ANNUAL2026.xlsx</x:v>
      </x:c>
      <x:c r="R421" s="9" t="str">
        <x:v>默认</x:v>
      </x:c>
      <x:c r="S421" s="9" t="n">
        <x:v>451</x:v>
      </x:c>
      <x:c r="T421" s="9" t="str">
        <x:v>deede8b56943df4f914be45dba170f12e69064023d6ef0e88dbde1764f6ba23e</x:v>
      </x:c>
      <x:c r="U421" s="9" t="str">
        <x:v>W_SKIRTS_AVGPAID_1500_1600_ANNUAL2026</x:v>
      </x:c>
      <x:c r="V421" s="9" t="str">
        <x:v>W_SKIRTS_AVGPAID_1500_1600_ANNUAL2026.xlsx / 默认 / 第451行 / SHA256 deede8b56943df4f914be45dba170f12e69064023d6ef0e88dbde1764f6ba23e</x:v>
      </x:c>
    </x:row>
    <x:row r="422" ht="58" customHeight="1">
      <x:c r="A422" s="23" t="str">
        <x:v>1018204403027</x:v>
      </x:c>
      <x:c r="B422" s="22"/>
      <x:c r="C422" s="22"/>
      <x:c r="D422" s="22"/>
      <x:c r="E422" s="9" t="str">
        <x:v>裙长未明确</x:v>
      </x:c>
      <x:c r="F422" s="9" t="str">
        <x:v>裙装</x:v>
      </x:c>
      <x:c r="G422" s="9" t="str">
        <x:v>半身裙</x:v>
      </x:c>
      <x:c r="H422" s="9" t="str">
        <x:v>女</x:v>
      </x:c>
      <x:c r="I422" s="9" t="str">
        <x:v>IIIVIVINIKO2026春新款百搭撞色抽绳花苞A型半裙女M610710118B</x:v>
      </x:c>
      <x:c r="J422" s="9" t="str">
        <x:v>IIIVIVINIKO</x:v>
      </x:c>
      <x:c r="K422" s="24" t="n">
        <x:v>1766.18</x:v>
      </x:c>
      <x:c r="L422" s="25" t="e">
        <x:f>HYPERLINK("https://item.taobao.com/item.htm?id=1018204403027","打开商品")</x:f>
        <x:v>HYPERLINK is not implemented. linkLocation=https://item.taobao.com/item.htm?id=1018204403027, friendlyName=打开商品</x:v>
      </x:c>
      <x:c r="M422" s="25" t="e">
        <x:f>HYPERLINK("https://data.zhiyitech.cn/itemDetail/overview/base?itemId=1018204403027","打开知衣")</x:f>
        <x:v>HYPERLINK is not implemented. linkLocation=https://data.zhiyitech.cn/itemDetail/overview/base?itemId=1018204403027, friendlyName=打开知衣</x:v>
      </x:c>
      <x:c r="N422" s="25" t="e">
        <x:f>HYPERLINK("https://img.alicdn.com/bao/uploaded/i3/1706908345/O1CN01eDyI14ziO3C1chua-1706908345.jpg","查看主图")</x:f>
        <x:v>HYPERLINK is not implemented. linkLocation=https://img.alicdn.com/bao/uploaded/i3/1706908345/O1CN01eDyI14ziO3C1chua-1706908345.jpg, friendlyName=查看主图</x:v>
      </x:c>
      <x:c r="O422" s="9" t="str">
        <x:v>标题及既有类目语义复核；IIIVIVINIKO2026春新款百搭撞色抽绳花苞A型半裙女M610710118B；原类目及标题已能确认半身裙；展示使用已知大类，未知裙长下沉到结构字段，不强猜长短。</x:v>
      </x:c>
      <x:c r="P422" s="9" t="str">
        <x:v>普通男女装</x:v>
      </x:c>
      <x:c r="Q422" s="9" t="str">
        <x:v>W_SKIRTS_AVGPAID_1700_1800_ANNUAL2026.xlsx</x:v>
      </x:c>
      <x:c r="R422" s="9" t="str">
        <x:v>默认</x:v>
      </x:c>
      <x:c r="S422" s="9" t="n">
        <x:v>397</x:v>
      </x:c>
      <x:c r="T422" s="9" t="str">
        <x:v>c25ed77c53c7c5cfcf728778a0e9b297d8689503f62756a939cbd534ca9b587a</x:v>
      </x:c>
      <x:c r="U422" s="9" t="str">
        <x:v>W_SKIRTS_AVGPAID_1700_1800_ANNUAL2026</x:v>
      </x:c>
      <x:c r="V422" s="9" t="str">
        <x:v>W_SKIRTS_AVGPAID_1700_1800_ANNUAL2026.xlsx / 默认 / 第397行 / SHA256 c25ed77c53c7c5cfcf728778a0e9b297d8689503f62756a939cbd534ca9b587a</x:v>
      </x:c>
    </x:row>
    <x:row r="423" ht="58" customHeight="1">
      <x:c r="A423" s="23" t="str">
        <x:v>1037408060707</x:v>
      </x:c>
      <x:c r="B423" s="22"/>
      <x:c r="C423" s="22"/>
      <x:c r="D423" s="22"/>
      <x:c r="E423" s="9" t="str">
        <x:v>裙长未明确</x:v>
      </x:c>
      <x:c r="F423" s="9" t="str">
        <x:v>裙装</x:v>
      </x:c>
      <x:c r="G423" s="9" t="str">
        <x:v>半身裙</x:v>
      </x:c>
      <x:c r="H423" s="9" t="str">
        <x:v>女</x:v>
      </x:c>
      <x:c r="I423" s="9" t="str">
        <x:v>IIIVIVINIKO2026夏季新款浪漫气质蕾丝拼接A字半裙女M620717128D</x:v>
      </x:c>
      <x:c r="J423" s="9" t="str">
        <x:v>IIIVIVINIKO</x:v>
      </x:c>
      <x:c r="K423" s="24" t="n">
        <x:v>1563.68</x:v>
      </x:c>
      <x:c r="L423" s="25" t="e">
        <x:f>HYPERLINK("https://item.taobao.com/item.htm?id=1037408060707","打开商品")</x:f>
        <x:v>HYPERLINK is not implemented. linkLocation=https://item.taobao.com/item.htm?id=1037408060707, friendlyName=打开商品</x:v>
      </x:c>
      <x:c r="M423" s="25" t="e">
        <x:f>HYPERLINK("https://data.zhiyitech.cn/itemDetail/overview/base?itemId=1037408060707","打开知衣")</x:f>
        <x:v>HYPERLINK is not implemented. linkLocation=https://data.zhiyitech.cn/itemDetail/overview/base?itemId=1037408060707, friendlyName=打开知衣</x:v>
      </x:c>
      <x:c r="N423" s="25" t="e">
        <x:f>HYPERLINK("https://img.alicdn.com/bao/uploaded/i1/1706908345/O1CN0103EieppHf8J2vH2e_!!4611686018427386553-0-item_pic.jpg","查看主图")</x:f>
        <x:v>HYPERLINK is not implemented. linkLocation=https://img.alicdn.com/bao/uploaded/i1/1706908345/O1CN0103EieppHf8J2vH2e_!!4611686018427386553-0-item_pic.jpg, friendlyName=查看主图</x:v>
      </x:c>
      <x:c r="O423" s="9" t="str">
        <x:v>标题及既有类目语义复核；IIIVIVINIKO2026夏季新款浪漫气质蕾丝拼接A字半裙女M620717128D；原类目及标题已能确认半身裙；展示使用已知大类，未知裙长下沉到结构字段，不强猜长短。</x:v>
      </x:c>
      <x:c r="P423" s="9" t="str">
        <x:v>普通男女装</x:v>
      </x:c>
      <x:c r="Q423" s="9" t="str">
        <x:v>W_SKIRTS_AVGPAID_1500_1600_ANNUAL2026.xlsx</x:v>
      </x:c>
      <x:c r="R423" s="9" t="str">
        <x:v>默认</x:v>
      </x:c>
      <x:c r="S423" s="9" t="n">
        <x:v>220</x:v>
      </x:c>
      <x:c r="T423" s="9" t="str">
        <x:v>deede8b56943df4f914be45dba170f12e69064023d6ef0e88dbde1764f6ba23e</x:v>
      </x:c>
      <x:c r="U423" s="9" t="str">
        <x:v>W_SKIRTS_AVGPAID_1500_1600_ANNUAL2026</x:v>
      </x:c>
      <x:c r="V423" s="9" t="str">
        <x:v>W_SKIRTS_AVGPAID_1500_1600_ANNUAL2026.xlsx / 默认 / 第220行 / SHA256 deede8b56943df4f914be45dba170f12e69064023d6ef0e88dbde1764f6ba23e</x:v>
      </x:c>
    </x:row>
    <x:row r="424" ht="58" customHeight="1">
      <x:c r="A424" s="23" t="str">
        <x:v>1045580120980</x:v>
      </x:c>
      <x:c r="B424" s="22"/>
      <x:c r="C424" s="22"/>
      <x:c r="D424" s="22"/>
      <x:c r="E424" s="9" t="str">
        <x:v>裙长未明确</x:v>
      </x:c>
      <x:c r="F424" s="9" t="str">
        <x:v>裙装</x:v>
      </x:c>
      <x:c r="G424" s="9" t="str">
        <x:v>半身裙</x:v>
      </x:c>
      <x:c r="H424" s="9" t="str">
        <x:v>女</x:v>
      </x:c>
      <x:c r="I424" s="9" t="str">
        <x:v>IIIVIVINIKO2026夏季新款菱格肌理针织A字半身裙女M627060643D</x:v>
      </x:c>
      <x:c r="J424" s="9" t="str">
        <x:v>IIIVIVINIKO</x:v>
      </x:c>
      <x:c r="K424" s="24" t="n">
        <x:v>1398.02</x:v>
      </x:c>
      <x:c r="L424" s="25" t="e">
        <x:f>HYPERLINK("https://item.taobao.com/item.htm?id=1045580120980","打开商品")</x:f>
        <x:v>HYPERLINK is not implemented. linkLocation=https://item.taobao.com/item.htm?id=1045580120980, friendlyName=打开商品</x:v>
      </x:c>
      <x:c r="M424" s="25" t="e">
        <x:f>HYPERLINK("https://data.zhiyitech.cn/itemDetail/overview/base?itemId=1045580120980","打开知衣")</x:f>
        <x:v>HYPERLINK is not implemented. linkLocation=https://data.zhiyitech.cn/itemDetail/overview/base?itemId=1045580120980, friendlyName=打开知衣</x:v>
      </x:c>
      <x:c r="N424" s="25" t="e">
        <x:f>HYPERLINK("https://img.alicdn.com/bao/uploaded/i4/1706908345/O1CN01UXehTdrbSNH1chua-1706908345.jpg","查看主图")</x:f>
        <x:v>HYPERLINK is not implemented. linkLocation=https://img.alicdn.com/bao/uploaded/i4/1706908345/O1CN01UXehTdrbSNH1chua-1706908345.jpg, friendlyName=查看主图</x:v>
      </x:c>
      <x:c r="O424" s="9" t="str">
        <x:v>标题及既有类目语义复核；IIIVIVINIKO2026夏季新款菱格肌理针织A字半身裙女M627060643D；原类目及标题已能确认半身裙；展示使用已知大类，未知裙长下沉到结构字段，不强猜长短。</x:v>
      </x:c>
      <x:c r="P424" s="9" t="str">
        <x:v>普通男女装</x:v>
      </x:c>
      <x:c r="Q424" s="9" t="str">
        <x:v>W_SKIRTS_AVGPAID_1300_1400_ANNUAL2026.xlsx</x:v>
      </x:c>
      <x:c r="R424" s="9" t="str">
        <x:v>默认</x:v>
      </x:c>
      <x:c r="S424" s="9" t="n">
        <x:v>309</x:v>
      </x:c>
      <x:c r="T424" s="9" t="str">
        <x:v>bd4dae1e08e9eca7ddd0669235bf59107cdc418b9c2898fc16f36a7ab5748692</x:v>
      </x:c>
      <x:c r="U424" s="9" t="str">
        <x:v>W_SKIRTS_AVGPAID_1300_1400_ANNUAL2026</x:v>
      </x:c>
      <x:c r="V424" s="9" t="str">
        <x:v>W_SKIRTS_AVGPAID_1300_1400_ANNUAL2026.xlsx / 默认 / 第309行 / SHA256 bd4dae1e08e9eca7ddd0669235bf59107cdc418b9c2898fc16f36a7ab5748692</x:v>
      </x:c>
    </x:row>
    <x:row r="425" ht="58" customHeight="1">
      <x:c r="A425" s="23" t="str">
        <x:v>1046137169139</x:v>
      </x:c>
      <x:c r="B425" s="22"/>
      <x:c r="C425" s="22"/>
      <x:c r="D425" s="22"/>
      <x:c r="E425" s="9" t="str">
        <x:v>裙长未明确</x:v>
      </x:c>
      <x:c r="F425" s="9" t="str">
        <x:v>裙装</x:v>
      </x:c>
      <x:c r="G425" s="9" t="str">
        <x:v>半身裙</x:v>
      </x:c>
      <x:c r="H425" s="9" t="str">
        <x:v>女</x:v>
      </x:c>
      <x:c r="I425" s="9" t="str">
        <x:v>IIIVIVINIKO2026夏季新款宽松浪漫蕾丝拼接百褶裙女M620735159E</x:v>
      </x:c>
      <x:c r="J425" s="9" t="str">
        <x:v>IIIVIVINIKO</x:v>
      </x:c>
      <x:c r="K425" s="24" t="n">
        <x:v>1544.69</x:v>
      </x:c>
      <x:c r="L425" s="25" t="e">
        <x:f>HYPERLINK("https://item.taobao.com/item.htm?id=1046137169139","打开商品")</x:f>
        <x:v>HYPERLINK is not implemented. linkLocation=https://item.taobao.com/item.htm?id=1046137169139, friendlyName=打开商品</x:v>
      </x:c>
      <x:c r="M425" s="25" t="e">
        <x:f>HYPERLINK("https://data.zhiyitech.cn/itemDetail/overview/base?itemId=1046137169139","打开知衣")</x:f>
        <x:v>HYPERLINK is not implemented. linkLocation=https://data.zhiyitech.cn/itemDetail/overview/base?itemId=1046137169139, friendlyName=打开知衣</x:v>
      </x:c>
      <x:c r="N425" s="25" t="e">
        <x:f>HYPERLINK("https://img.alicdn.com/bao/uploaded/i4/1706908345/O1CN01GiwOYOAyOzG1chua-1706908345.jpg","查看主图")</x:f>
        <x:v>HYPERLINK is not implemented. linkLocation=https://img.alicdn.com/bao/uploaded/i4/1706908345/O1CN01GiwOYOAyOzG1chua-1706908345.jpg, friendlyName=查看主图</x:v>
      </x:c>
      <x:c r="O425" s="9" t="str">
        <x:v>标题及既有类目语义复核；IIIVIVINIKO2026夏季新款宽松浪漫蕾丝拼接百褶裙女M620735159E；原类目及标题已能确认半身裙；展示使用已知大类，未知裙长下沉到结构字段，不强猜长短。</x:v>
      </x:c>
      <x:c r="P425" s="9" t="str">
        <x:v>普通男女装</x:v>
      </x:c>
      <x:c r="Q425" s="9" t="str">
        <x:v>W_SKIRTS_AVGPAID_1500_1600_ANNUAL2026.xlsx</x:v>
      </x:c>
      <x:c r="R425" s="9" t="str">
        <x:v>默认</x:v>
      </x:c>
      <x:c r="S425" s="9" t="n">
        <x:v>184</x:v>
      </x:c>
      <x:c r="T425" s="9" t="str">
        <x:v>deede8b56943df4f914be45dba170f12e69064023d6ef0e88dbde1764f6ba23e</x:v>
      </x:c>
      <x:c r="U425" s="9" t="str">
        <x:v>W_SKIRTS_AVGPAID_1500_1600_ANNUAL2026</x:v>
      </x:c>
      <x:c r="V425" s="9" t="str">
        <x:v>W_SKIRTS_AVGPAID_1500_1600_ANNUAL2026.xlsx / 默认 / 第184行 / SHA256 deede8b56943df4f914be45dba170f12e69064023d6ef0e88dbde1764f6ba23e</x:v>
      </x:c>
    </x:row>
    <x:row r="426" ht="58" customHeight="1">
      <x:c r="A426" s="23" t="str">
        <x:v>1058081551714</x:v>
      </x:c>
      <x:c r="B426" s="22"/>
      <x:c r="C426" s="22"/>
      <x:c r="D426" s="22"/>
      <x:c r="E426" s="9" t="str">
        <x:v>裙长未明确</x:v>
      </x:c>
      <x:c r="F426" s="9" t="str">
        <x:v>裙装</x:v>
      </x:c>
      <x:c r="G426" s="9" t="str">
        <x:v>半身裙</x:v>
      </x:c>
      <x:c r="H426" s="9" t="str">
        <x:v>女</x:v>
      </x:c>
      <x:c r="I426" s="9" t="str">
        <x:v>IIIVIVINIKO2026秋冬新款优雅随性清新花苞形半裙女M630716183A</x:v>
      </x:c>
      <x:c r="J426" s="9" t="str">
        <x:v>IIIVIVINIKO</x:v>
      </x:c>
      <x:c r="K426" s="24" t="n">
        <x:v>1540.38</x:v>
      </x:c>
      <x:c r="L426" s="25" t="e">
        <x:f>HYPERLINK("https://item.taobao.com/item.htm?id=1058081551714","打开商品")</x:f>
        <x:v>HYPERLINK is not implemented. linkLocation=https://item.taobao.com/item.htm?id=1058081551714, friendlyName=打开商品</x:v>
      </x:c>
      <x:c r="M426" s="25" t="e">
        <x:f>HYPERLINK("https://data.zhiyitech.cn/itemDetail/overview/base?itemId=1058081551714","打开知衣")</x:f>
        <x:v>HYPERLINK is not implemented. linkLocation=https://data.zhiyitech.cn/itemDetail/overview/base?itemId=1058081551714, friendlyName=打开知衣</x:v>
      </x:c>
      <x:c r="N426" s="25" t="e">
        <x:f>HYPERLINK("https://img.alicdn.com/bao/uploaded/i4/1706908345/O1CN01qcFjps2BW4K3aKG95-1706908345.jpg","查看主图")</x:f>
        <x:v>HYPERLINK is not implemented. linkLocation=https://img.alicdn.com/bao/uploaded/i4/1706908345/O1CN01qcFjps2BW4K3aKG95-1706908345.jpg, friendlyName=查看主图</x:v>
      </x:c>
      <x:c r="O426" s="9" t="str">
        <x:v>标题及既有类目语义复核；IIIVIVINIKO2026秋冬新款优雅随性清新花苞形半裙女M630716183A；原类目及标题已能确认半身裙；展示使用已知大类，未知裙长下沉到结构字段，不强猜长短。</x:v>
      </x:c>
      <x:c r="P426" s="9" t="str">
        <x:v>普通男女装</x:v>
      </x:c>
      <x:c r="Q426" s="9" t="str">
        <x:v>W_SKIRTS_AVGPAID_1500_1600_ANNUAL2026.xlsx</x:v>
      </x:c>
      <x:c r="R426" s="9" t="str">
        <x:v>默认</x:v>
      </x:c>
      <x:c r="S426" s="9" t="n">
        <x:v>155</x:v>
      </x:c>
      <x:c r="T426" s="9" t="str">
        <x:v>deede8b56943df4f914be45dba170f12e69064023d6ef0e88dbde1764f6ba23e</x:v>
      </x:c>
      <x:c r="U426" s="9" t="str">
        <x:v>W_SKIRTS_AVGPAID_1500_1600_ANNUAL2026</x:v>
      </x:c>
      <x:c r="V426" s="9" t="str">
        <x:v>W_SKIRTS_AVGPAID_1500_1600_ANNUAL2026.xlsx / 默认 / 第155行 / SHA256 deede8b56943df4f914be45dba170f12e69064023d6ef0e88dbde1764f6ba23e</x:v>
      </x:c>
    </x:row>
    <x:row r="427" ht="58" customHeight="1">
      <x:c r="A427" s="23" t="str">
        <x:v>1069699522835</x:v>
      </x:c>
      <x:c r="B427" s="22"/>
      <x:c r="C427" s="22"/>
      <x:c r="D427" s="22"/>
      <x:c r="E427" s="9" t="str">
        <x:v>裙长未明确</x:v>
      </x:c>
      <x:c r="F427" s="9" t="str">
        <x:v>裙装</x:v>
      </x:c>
      <x:c r="G427" s="9" t="str">
        <x:v>半身裙</x:v>
      </x:c>
      <x:c r="H427" s="9" t="str">
        <x:v>女</x:v>
      </x:c>
      <x:c r="I427" s="9" t="str">
        <x:v>IIIVIVINIKO2026秋季新款松弛轻工装水洗牛仔直筒裙女M631703205B</x:v>
      </x:c>
      <x:c r="J427" s="9" t="str">
        <x:v>IIIVIVINIKO</x:v>
      </x:c>
      <x:c r="K427" s="24" t="n">
        <x:v>1549.75</x:v>
      </x:c>
      <x:c r="L427" s="25" t="e">
        <x:f>HYPERLINK("https://item.taobao.com/item.htm?id=1069699522835","打开商品")</x:f>
        <x:v>HYPERLINK is not implemented. linkLocation=https://item.taobao.com/item.htm?id=1069699522835, friendlyName=打开商品</x:v>
      </x:c>
      <x:c r="M427" s="25" t="e">
        <x:f>HYPERLINK("https://data.zhiyitech.cn/itemDetail/overview/base?itemId=1069699522835","打开知衣")</x:f>
        <x:v>HYPERLINK is not implemented. linkLocation=https://data.zhiyitech.cn/itemDetail/overview/base?itemId=1069699522835, friendlyName=打开知衣</x:v>
      </x:c>
      <x:c r="N427" s="25" t="e">
        <x:f>HYPERLINK("https://img.alicdn.com/bao/uploaded/i3/1706908345/O1CN01QdiqJA2Df7E2vH2e_!!4611686018427386553-0-item_pic.jpg","查看主图")</x:f>
        <x:v>HYPERLINK is not implemented. linkLocation=https://img.alicdn.com/bao/uploaded/i3/1706908345/O1CN01QdiqJA2Df7E2vH2e_!!4611686018427386553-0-item_pic.jpg, friendlyName=查看主图</x:v>
      </x:c>
      <x:c r="O427" s="9" t="str">
        <x:v>标题及既有类目语义复核；IIIVIVINIKO2026秋季新款松弛轻工装水洗牛仔直筒裙女M631703205B；原类目及标题已能确认半身裙；展示使用已知大类，未知裙长下沉到结构字段，不强猜长短。</x:v>
      </x:c>
      <x:c r="P427" s="9" t="str">
        <x:v>普通男女装</x:v>
      </x:c>
      <x:c r="Q427" s="9" t="str">
        <x:v>W_SKIRTS_AVGPAID_1500_1600_ANNUAL2026.xlsx</x:v>
      </x:c>
      <x:c r="R427" s="9" t="str">
        <x:v>默认</x:v>
      </x:c>
      <x:c r="S427" s="9" t="n">
        <x:v>308</x:v>
      </x:c>
      <x:c r="T427" s="9" t="str">
        <x:v>deede8b56943df4f914be45dba170f12e69064023d6ef0e88dbde1764f6ba23e</x:v>
      </x:c>
      <x:c r="U427" s="9" t="str">
        <x:v>W_SKIRTS_AVGPAID_1500_1600_ANNUAL2026</x:v>
      </x:c>
      <x:c r="V427" s="9" t="str">
        <x:v>W_SKIRTS_AVGPAID_1500_1600_ANNUAL2026.xlsx / 默认 / 第308行 / SHA256 deede8b56943df4f914be45dba170f12e69064023d6ef0e88dbde1764f6ba23e</x:v>
      </x:c>
    </x:row>
    <x:row r="428" ht="58" customHeight="1">
      <x:c r="A428" s="23" t="str">
        <x:v>965574226969</x:v>
      </x:c>
      <x:c r="B428" s="22"/>
      <x:c r="C428" s="22"/>
      <x:c r="D428" s="22"/>
      <x:c r="E428" s="9" t="str">
        <x:v>裙长未明确</x:v>
      </x:c>
      <x:c r="F428" s="9" t="str">
        <x:v>裙装</x:v>
      </x:c>
      <x:c r="G428" s="9" t="str">
        <x:v>半身裙</x:v>
      </x:c>
      <x:c r="H428" s="9" t="str">
        <x:v>女</x:v>
      </x:c>
      <x:c r="I428" s="9" t="str">
        <x:v>IIIVIVINIKO秋季新款时尚学院风撞色腰头百褶裙女M530709166B</x:v>
      </x:c>
      <x:c r="J428" s="9" t="str">
        <x:v>IIIVIVINIKO</x:v>
      </x:c>
      <x:c r="K428" s="24" t="n">
        <x:v>1379.58</x:v>
      </x:c>
      <x:c r="L428" s="25" t="e">
        <x:f>HYPERLINK("https://item.taobao.com/item.htm?id=965574226969","打开商品")</x:f>
        <x:v>HYPERLINK is not implemented. linkLocation=https://item.taobao.com/item.htm?id=965574226969, friendlyName=打开商品</x:v>
      </x:c>
      <x:c r="M428" s="25" t="e">
        <x:f>HYPERLINK("https://data.zhiyitech.cn/itemDetail/overview/base?itemId=965574226969","打开知衣")</x:f>
        <x:v>HYPERLINK is not implemented. linkLocation=https://data.zhiyitech.cn/itemDetail/overview/base?itemId=965574226969, friendlyName=打开知衣</x:v>
      </x:c>
      <x:c r="N428" s="25" t="e">
        <x:f>HYPERLINK("https://img.alicdn.com/bao/uploaded/i2/1706908345/O1CN01c5rcDFODP3I1chua-1706908345.jpg","查看主图")</x:f>
        <x:v>HYPERLINK is not implemented. linkLocation=https://img.alicdn.com/bao/uploaded/i2/1706908345/O1CN01c5rcDFODP3I1chua-1706908345.jpg, friendlyName=查看主图</x:v>
      </x:c>
      <x:c r="O428" s="9" t="str">
        <x:v>标题及既有类目语义复核；IIIVIVINIKO秋季新款时尚学院风撞色腰头百褶裙女M530709166B；原类目及标题已能确认半身裙；展示使用已知大类，未知裙长下沉到结构字段，不强猜长短。</x:v>
      </x:c>
      <x:c r="P428" s="9" t="str">
        <x:v>普通男女装</x:v>
      </x:c>
      <x:c r="Q428" s="9" t="str">
        <x:v>W_SKIRTS_AVGPAID_1300_1400_ANNUAL2026.xlsx</x:v>
      </x:c>
      <x:c r="R428" s="9" t="str">
        <x:v>默认</x:v>
      </x:c>
      <x:c r="S428" s="9" t="n">
        <x:v>131</x:v>
      </x:c>
      <x:c r="T428" s="9" t="str">
        <x:v>bd4dae1e08e9eca7ddd0669235bf59107cdc418b9c2898fc16f36a7ab5748692</x:v>
      </x:c>
      <x:c r="U428" s="9" t="str">
        <x:v>W_SKIRTS_AVGPAID_1300_1400_ANNUAL2026</x:v>
      </x:c>
      <x:c r="V428" s="9" t="str">
        <x:v>W_SKIRTS_AVGPAID_1300_1400_ANNUAL2026.xlsx / 默认 / 第131行 / SHA256 bd4dae1e08e9eca7ddd0669235bf59107cdc418b9c2898fc16f36a7ab5748692</x:v>
      </x:c>
    </x:row>
    <x:row r="429" ht="58" customHeight="1">
      <x:c r="A429" s="23" t="str">
        <x:v>979731003952</x:v>
      </x:c>
      <x:c r="B429" s="22"/>
      <x:c r="C429" s="22"/>
      <x:c r="D429" s="22"/>
      <x:c r="E429" s="9" t="str">
        <x:v>裙长未明确</x:v>
      </x:c>
      <x:c r="F429" s="9" t="str">
        <x:v>裙装</x:v>
      </x:c>
      <x:c r="G429" s="9" t="str">
        <x:v>半身裙</x:v>
      </x:c>
      <x:c r="H429" s="9" t="str">
        <x:v>女</x:v>
      </x:c>
      <x:c r="I429" s="9" t="str">
        <x:v>IIIVIVINIKO冬新款时尚气质修身针织直身半裙女M547027610E</x:v>
      </x:c>
      <x:c r="J429" s="9" t="str">
        <x:v>IIIVIVINIKO</x:v>
      </x:c>
      <x:c r="K429" s="24" t="n">
        <x:v>1398.43</x:v>
      </x:c>
      <x:c r="L429" s="25" t="e">
        <x:f>HYPERLINK("https://item.taobao.com/item.htm?id=979731003952","打开商品")</x:f>
        <x:v>HYPERLINK is not implemented. linkLocation=https://item.taobao.com/item.htm?id=979731003952, friendlyName=打开商品</x:v>
      </x:c>
      <x:c r="M429" s="25" t="e">
        <x:f>HYPERLINK("https://data.zhiyitech.cn/itemDetail/overview/base?itemId=979731003952","打开知衣")</x:f>
        <x:v>HYPERLINK is not implemented. linkLocation=https://data.zhiyitech.cn/itemDetail/overview/base?itemId=979731003952, friendlyName=打开知衣</x:v>
      </x:c>
      <x:c r="N429" s="25" t="e">
        <x:f>HYPERLINK("https://img.alicdn.com/bao/uploaded/i3/1706908345/O1CN01uv4vCnmoI7D1chua-1706908345.jpg","查看主图")</x:f>
        <x:v>HYPERLINK is not implemented. linkLocation=https://img.alicdn.com/bao/uploaded/i3/1706908345/O1CN01uv4vCnmoI7D1chua-1706908345.jpg, friendlyName=查看主图</x:v>
      </x:c>
      <x:c r="O429" s="9" t="str">
        <x:v>标题及既有类目语义复核；IIIVIVINIKO冬新款时尚气质修身针织直身半裙女M547027610E；原类目及标题已能确认半身裙；展示使用已知大类，未知裙长下沉到结构字段，不强猜长短。</x:v>
      </x:c>
      <x:c r="P429" s="9" t="str">
        <x:v>普通男女装</x:v>
      </x:c>
      <x:c r="Q429" s="9" t="str">
        <x:v>W_SKIRTS_AVGPAID_1300_1400_ANNUAL2026.xlsx</x:v>
      </x:c>
      <x:c r="R429" s="9" t="str">
        <x:v>默认</x:v>
      </x:c>
      <x:c r="S429" s="9" t="n">
        <x:v>235</x:v>
      </x:c>
      <x:c r="T429" s="9" t="str">
        <x:v>bd4dae1e08e9eca7ddd0669235bf59107cdc418b9c2898fc16f36a7ab5748692</x:v>
      </x:c>
      <x:c r="U429" s="9" t="str">
        <x:v>W_SKIRTS_AVGPAID_1300_1400_ANNUAL2026</x:v>
      </x:c>
      <x:c r="V429" s="9" t="str">
        <x:v>W_SKIRTS_AVGPAID_1300_1400_ANNUAL2026.xlsx / 默认 / 第235行 / SHA256 bd4dae1e08e9eca7ddd0669235bf59107cdc418b9c2898fc16f36a7ab5748692</x:v>
      </x:c>
    </x:row>
    <x:row r="430" ht="58" customHeight="1">
      <x:c r="A430" s="23" t="str">
        <x:v>980261922509</x:v>
      </x:c>
      <x:c r="B430" s="22"/>
      <x:c r="C430" s="22"/>
      <x:c r="D430" s="22"/>
      <x:c r="E430" s="9" t="str">
        <x:v>裙长未明确</x:v>
      </x:c>
      <x:c r="F430" s="9" t="str">
        <x:v>裙装</x:v>
      </x:c>
      <x:c r="G430" s="9" t="str">
        <x:v>半身裙</x:v>
      </x:c>
      <x:c r="H430" s="9" t="str">
        <x:v>女</x:v>
      </x:c>
      <x:c r="I430" s="9" t="str">
        <x:v>IIIVIVINIKO冬新款复古直筒撞色条纹针织半裙女M547046610E</x:v>
      </x:c>
      <x:c r="J430" s="9" t="str">
        <x:v>IIIVIVINIKO</x:v>
      </x:c>
      <x:c r="K430" s="24" t="n">
        <x:v>1528.54</x:v>
      </x:c>
      <x:c r="L430" s="25" t="e">
        <x:f>HYPERLINK("https://item.taobao.com/item.htm?id=980261922509","打开商品")</x:f>
        <x:v>HYPERLINK is not implemented. linkLocation=https://item.taobao.com/item.htm?id=980261922509, friendlyName=打开商品</x:v>
      </x:c>
      <x:c r="M430" s="25" t="e">
        <x:f>HYPERLINK("https://data.zhiyitech.cn/itemDetail/overview/base?itemId=980261922509","打开知衣")</x:f>
        <x:v>HYPERLINK is not implemented. linkLocation=https://data.zhiyitech.cn/itemDetail/overview/base?itemId=980261922509, friendlyName=打开知衣</x:v>
      </x:c>
      <x:c r="N430" s="25" t="e">
        <x:f>HYPERLINK("https://img.alicdn.com/bao/uploaded/i4/1706908345/O1CN01t96wAKb0jmL1chua-1706908345.jpg","查看主图")</x:f>
        <x:v>HYPERLINK is not implemented. linkLocation=https://img.alicdn.com/bao/uploaded/i4/1706908345/O1CN01t96wAKb0jmL1chua-1706908345.jpg, friendlyName=查看主图</x:v>
      </x:c>
      <x:c r="O430" s="9" t="str">
        <x:v>标题及既有类目语义复核；IIIVIVINIKO冬新款复古直筒撞色条纹针织半裙女M547046610E；原类目及标题已能确认半身裙；展示使用已知大类，未知裙长下沉到结构字段，不强猜长短。</x:v>
      </x:c>
      <x:c r="P430" s="9" t="str">
        <x:v>普通男女装</x:v>
      </x:c>
      <x:c r="Q430" s="9" t="str">
        <x:v>W_SKIRTS_AVGPAID_1500_1600_ANNUAL2026.xlsx</x:v>
      </x:c>
      <x:c r="R430" s="9" t="str">
        <x:v>默认</x:v>
      </x:c>
      <x:c r="S430" s="9" t="n">
        <x:v>160</x:v>
      </x:c>
      <x:c r="T430" s="9" t="str">
        <x:v>deede8b56943df4f914be45dba170f12e69064023d6ef0e88dbde1764f6ba23e</x:v>
      </x:c>
      <x:c r="U430" s="9" t="str">
        <x:v>W_SKIRTS_AVGPAID_1500_1600_ANNUAL2026</x:v>
      </x:c>
      <x:c r="V430" s="9" t="str">
        <x:v>W_SKIRTS_AVGPAID_1500_1600_ANNUAL2026.xlsx / 默认 / 第160行 / SHA256 deede8b56943df4f914be45dba170f12e69064023d6ef0e88dbde1764f6ba23e</x:v>
      </x:c>
    </x:row>
    <x:row r="431" ht="58" customHeight="1">
      <x:c r="A431" s="23" t="str">
        <x:v>1051818590210</x:v>
      </x:c>
      <x:c r="B431" s="22"/>
      <x:c r="C431" s="22"/>
      <x:c r="D431" s="22"/>
      <x:c r="E431" s="9" t="str">
        <x:v>裙长未明确</x:v>
      </x:c>
      <x:c r="F431" s="9" t="str">
        <x:v>裙装</x:v>
      </x:c>
      <x:c r="G431" s="9" t="str">
        <x:v>半身裙</x:v>
      </x:c>
      <x:c r="H431" s="9" t="str">
        <x:v>女</x:v>
      </x:c>
      <x:c r="I431" s="9" t="str">
        <x:v>ICEDUST 钉珠荷叶边半身裙</x:v>
      </x:c>
      <x:c r="J431" s="9" t="str">
        <x:v>IINCBOUTIQUE</x:v>
      </x:c>
      <x:c r="K431" s="24" t="n">
        <x:v>1773.49</x:v>
      </x:c>
      <x:c r="L431" s="25" t="e">
        <x:f>HYPERLINK("https://item.taobao.com/item.htm?id=1051818590210","打开商品")</x:f>
        <x:v>HYPERLINK is not implemented. linkLocation=https://item.taobao.com/item.htm?id=1051818590210, friendlyName=打开商品</x:v>
      </x:c>
      <x:c r="M431" s="25" t="e">
        <x:f>HYPERLINK("https://data.zhiyitech.cn/itemDetail/overview/base?itemId=1051818590210","打开知衣")</x:f>
        <x:v>HYPERLINK is not implemented. linkLocation=https://data.zhiyitech.cn/itemDetail/overview/base?itemId=1051818590210, friendlyName=打开知衣</x:v>
      </x:c>
      <x:c r="N431" s="25" t="e">
        <x:f>HYPERLINK("https://img.alicdn.com/bao/uploaded/i3/2211385512203/O1CN01nCXVf6vyo8F2vH2e_!!2211385512203.jpg","查看主图")</x:f>
        <x:v>HYPERLINK is not implemented. linkLocation=https://img.alicdn.com/bao/uploaded/i3/2211385512203/O1CN01nCXVf6vyo8F2vH2e_!!2211385512203.jpg, friendlyName=查看主图</x:v>
      </x:c>
      <x:c r="O431" s="9" t="str">
        <x:v>标题及既有类目语义复核；ICEDUST 钉珠荷叶边半身裙；原类目及标题已能确认半身裙；展示使用已知大类，未知裙长下沉到结构字段，不强猜长短。</x:v>
      </x:c>
      <x:c r="P431" s="9" t="str">
        <x:v>普通男女装</x:v>
      </x:c>
      <x:c r="Q431" s="9" t="str">
        <x:v>W_SKIRTS_AVGPAID_1700_1800_ANNUAL2026.xlsx</x:v>
      </x:c>
      <x:c r="R431" s="9" t="str">
        <x:v>默认</x:v>
      </x:c>
      <x:c r="S431" s="9" t="n">
        <x:v>349</x:v>
      </x:c>
      <x:c r="T431" s="9" t="str">
        <x:v>c25ed77c53c7c5cfcf728778a0e9b297d8689503f62756a939cbd534ca9b587a</x:v>
      </x:c>
      <x:c r="U431" s="9" t="str">
        <x:v>W_SKIRTS_AVGPAID_1700_1800_ANNUAL2026</x:v>
      </x:c>
      <x:c r="V431" s="9" t="str">
        <x:v>W_SKIRTS_AVGPAID_1700_1800_ANNUAL2026.xlsx / 默认 / 第349行 / SHA256 c25ed77c53c7c5cfcf728778a0e9b297d8689503f62756a939cbd534ca9b587a</x:v>
      </x:c>
    </x:row>
    <x:row r="432" ht="58" customHeight="1">
      <x:c r="A432" s="23" t="str">
        <x:v>740151261402</x:v>
      </x:c>
      <x:c r="B432" s="22"/>
      <x:c r="C432" s="22"/>
      <x:c r="D432" s="22"/>
      <x:c r="E432" s="9" t="str">
        <x:v>裙长未明确</x:v>
      </x:c>
      <x:c r="F432" s="9" t="str">
        <x:v>裙装</x:v>
      </x:c>
      <x:c r="G432" s="9" t="str">
        <x:v>半身裙</x:v>
      </x:c>
      <x:c r="H432" s="9" t="str">
        <x:v>女</x:v>
      </x:c>
      <x:c r="I432" s="9" t="str">
        <x:v>【IMMI】秋冬新品高腰羊绒罗纹流苏毛针织半裙132KN011Y</x:v>
      </x:c>
      <x:c r="J432" s="9" t="str">
        <x:v>IMMI</x:v>
      </x:c>
      <x:c r="K432" s="24" t="n">
        <x:v>1755.09</x:v>
      </x:c>
      <x:c r="L432" s="25" t="e">
        <x:f>HYPERLINK("https://item.taobao.com/item.htm?id=740151261402","打开商品")</x:f>
        <x:v>HYPERLINK is not implemented. linkLocation=https://item.taobao.com/item.htm?id=740151261402, friendlyName=打开商品</x:v>
      </x:c>
      <x:c r="M432" s="25" t="e">
        <x:f>HYPERLINK("https://data.zhiyitech.cn/itemDetail/overview/base?itemId=740151261402","打开知衣")</x:f>
        <x:v>HYPERLINK is not implemented. linkLocation=https://data.zhiyitech.cn/itemDetail/overview/base?itemId=740151261402, friendlyName=打开知衣</x:v>
      </x:c>
      <x:c r="N432" s="25" t="e">
        <x:f>HYPERLINK("https://img.alicdn.com/bao/uploaded/i3/3382968879/O1CN01eOdvoj2FSdYaqWFFz_!!0-item_pic.jpg","查看主图")</x:f>
        <x:v>HYPERLINK is not implemented. linkLocation=https://img.alicdn.com/bao/uploaded/i3/3382968879/O1CN01eOdvoj2FSdYaqWFFz_!!0-item_pic.jpg, friendlyName=查看主图</x:v>
      </x:c>
      <x:c r="O432" s="9" t="str">
        <x:v>标题及既有类目语义复核；【IMMI】秋冬新品高腰羊绒罗纹流苏毛针织半裙132KN011Y；原类目及标题已能确认半身裙；展示使用已知大类，未知裙长下沉到结构字段，不强猜长短。</x:v>
      </x:c>
      <x:c r="P432" s="9" t="str">
        <x:v>普通男女装</x:v>
      </x:c>
      <x:c r="Q432" s="9" t="str">
        <x:v>W_SKIRTS_AVGPAID_1700_1800_ANNUAL2026.xlsx</x:v>
      </x:c>
      <x:c r="R432" s="9" t="str">
        <x:v>默认</x:v>
      </x:c>
      <x:c r="S432" s="9" t="n">
        <x:v>410</x:v>
      </x:c>
      <x:c r="T432" s="9" t="str">
        <x:v>c25ed77c53c7c5cfcf728778a0e9b297d8689503f62756a939cbd534ca9b587a</x:v>
      </x:c>
      <x:c r="U432" s="9" t="str">
        <x:v>W_SKIRTS_AVGPAID_1700_1800_ANNUAL2026</x:v>
      </x:c>
      <x:c r="V432" s="9" t="str">
        <x:v>W_SKIRTS_AVGPAID_1700_1800_ANNUAL2026.xlsx / 默认 / 第410行 / SHA256 c25ed77c53c7c5cfcf728778a0e9b297d8689503f62756a939cbd534ca9b587a</x:v>
      </x:c>
    </x:row>
    <x:row r="433" ht="58" customHeight="1">
      <x:c r="A433" s="23" t="str">
        <x:v>905037475502</x:v>
      </x:c>
      <x:c r="B433" s="22"/>
      <x:c r="C433" s="22"/>
      <x:c r="D433" s="22"/>
      <x:c r="E433" s="9" t="str">
        <x:v>裙长未明确</x:v>
      </x:c>
      <x:c r="F433" s="9" t="str">
        <x:v>裙装</x:v>
      </x:c>
      <x:c r="G433" s="9" t="str">
        <x:v>半身裙</x:v>
      </x:c>
      <x:c r="H433" s="9" t="str">
        <x:v>女</x:v>
      </x:c>
      <x:c r="I433" s="9" t="str">
        <x:v>IMMI 25春夏  设计师  泡泡棉弹力半身裙/无袖上衣  SOLSOL买手店</x:v>
      </x:c>
      <x:c r="J433" s="9" t="str">
        <x:v>IMMI</x:v>
      </x:c>
      <x:c r="K433" s="24" t="n">
        <x:v>1377.45</x:v>
      </x:c>
      <x:c r="L433" s="25" t="e">
        <x:f>HYPERLINK("https://item.taobao.com/item.htm?id=905037475502","打开商品")</x:f>
        <x:v>HYPERLINK is not implemented. linkLocation=https://item.taobao.com/item.htm?id=905037475502, friendlyName=打开商品</x:v>
      </x:c>
      <x:c r="M433" s="25" t="e">
        <x:f>HYPERLINK("https://data.zhiyitech.cn/itemDetail/overview/base?itemId=905037475502","打开知衣")</x:f>
        <x:v>HYPERLINK is not implemented. linkLocation=https://data.zhiyitech.cn/itemDetail/overview/base?itemId=905037475502, friendlyName=打开知衣</x:v>
      </x:c>
      <x:c r="N433" s="25" t="e">
        <x:f>HYPERLINK("https://img.alicdn.com/bao/uploaded/i1/158221013/O1CN01IdwaLa1JM0GRAcEeP_!!158221013.jpg","查看主图")</x:f>
        <x:v>HYPERLINK is not implemented. linkLocation=https://img.alicdn.com/bao/uploaded/i1/158221013/O1CN01IdwaLa1JM0GRAcEeP_!!158221013.jpg, friendlyName=查看主图</x:v>
      </x:c>
      <x:c r="O433" s="9" t="str">
        <x:v>标题及既有类目语义复核；IMMI 25春夏  设计师  泡泡棉弹力半身裙/无袖上衣  SOLSOL买手店；原类目及标题已能确认半身裙；展示使用已知大类，未知裙长下沉到结构字段，不强猜长短。</x:v>
      </x:c>
      <x:c r="P433" s="9" t="str">
        <x:v>普通男女装</x:v>
      </x:c>
      <x:c r="Q433" s="9" t="str">
        <x:v>W_SKIRTS_AVGPAID_1300_1400_ANNUAL2026.xlsx</x:v>
      </x:c>
      <x:c r="R433" s="9" t="str">
        <x:v>默认</x:v>
      </x:c>
      <x:c r="S433" s="9" t="n">
        <x:v>472</x:v>
      </x:c>
      <x:c r="T433" s="9" t="str">
        <x:v>bd4dae1e08e9eca7ddd0669235bf59107cdc418b9c2898fc16f36a7ab5748692</x:v>
      </x:c>
      <x:c r="U433" s="9" t="str">
        <x:v>W_SKIRTS_AVGPAID_1300_1400_ANNUAL2026</x:v>
      </x:c>
      <x:c r="V433" s="9" t="str">
        <x:v>W_SKIRTS_AVGPAID_1300_1400_ANNUAL2026.xlsx / 默认 / 第472行 / SHA256 bd4dae1e08e9eca7ddd0669235bf59107cdc418b9c2898fc16f36a7ab5748692</x:v>
      </x:c>
    </x:row>
    <x:row r="434" ht="58" customHeight="1">
      <x:c r="A434" s="23" t="str">
        <x:v>946798041004</x:v>
      </x:c>
      <x:c r="B434" s="22"/>
      <x:c r="C434" s="22"/>
      <x:c r="D434" s="22"/>
      <x:c r="E434" s="9" t="str">
        <x:v>裙长未明确</x:v>
      </x:c>
      <x:c r="F434" s="9" t="str">
        <x:v>裙装</x:v>
      </x:c>
      <x:c r="G434" s="9" t="str">
        <x:v>半身裙</x:v>
      </x:c>
      <x:c r="H434" s="9" t="str">
        <x:v>女</x:v>
      </x:c>
      <x:c r="I434" s="9" t="str">
        <x:v>【IMMI】早秋新品复古牛仔双开衩半裙MWEFWDSK0284X</x:v>
      </x:c>
      <x:c r="J434" s="9" t="str">
        <x:v>IMMI</x:v>
      </x:c>
      <x:c r="K434" s="24" t="n">
        <x:v>1707.84</x:v>
      </x:c>
      <x:c r="L434" s="25" t="e">
        <x:f>HYPERLINK("https://item.taobao.com/item.htm?id=946798041004","打开商品")</x:f>
        <x:v>HYPERLINK is not implemented. linkLocation=https://item.taobao.com/item.htm?id=946798041004, friendlyName=打开商品</x:v>
      </x:c>
      <x:c r="M434" s="25" t="e">
        <x:f>HYPERLINK("https://data.zhiyitech.cn/itemDetail/overview/base?itemId=946798041004","打开知衣")</x:f>
        <x:v>HYPERLINK is not implemented. linkLocation=https://data.zhiyitech.cn/itemDetail/overview/base?itemId=946798041004, friendlyName=打开知衣</x:v>
      </x:c>
      <x:c r="N434" s="25" t="e">
        <x:f>HYPERLINK("https://img.alicdn.com/bao/uploaded/i3/3382968879/O1CN01vAiBdA2FSdkTkqXef_!!4611686018427380271-0-item_pic.jpg","查看主图")</x:f>
        <x:v>HYPERLINK is not implemented. linkLocation=https://img.alicdn.com/bao/uploaded/i3/3382968879/O1CN01vAiBdA2FSdkTkqXef_!!4611686018427380271-0-item_pic.jpg, friendlyName=查看主图</x:v>
      </x:c>
      <x:c r="O434" s="9" t="str">
        <x:v>标题及既有类目语义复核；【IMMI】早秋新品复古牛仔双开衩半裙MWEFWDSK0284X；原类目及标题已能确认半身裙；展示使用已知大类，未知裙长下沉到结构字段，不强猜长短。</x:v>
      </x:c>
      <x:c r="P434" s="9" t="str">
        <x:v>普通男女装</x:v>
      </x:c>
      <x:c r="Q434" s="9" t="str">
        <x:v>W_SKIRTS_AVGPAID_1700_1800_ANNUAL2026.xlsx</x:v>
      </x:c>
      <x:c r="R434" s="9" t="str">
        <x:v>默认</x:v>
      </x:c>
      <x:c r="S434" s="9" t="n">
        <x:v>198</x:v>
      </x:c>
      <x:c r="T434" s="9" t="str">
        <x:v>c25ed77c53c7c5cfcf728778a0e9b297d8689503f62756a939cbd534ca9b587a</x:v>
      </x:c>
      <x:c r="U434" s="9" t="str">
        <x:v>W_SKIRTS_AVGPAID_1700_1800_ANNUAL2026</x:v>
      </x:c>
      <x:c r="V434" s="9" t="str">
        <x:v>W_SKIRTS_AVGPAID_1700_1800_ANNUAL2026.xlsx / 默认 / 第198行 / SHA256 c25ed77c53c7c5cfcf728778a0e9b297d8689503f62756a939cbd534ca9b587a</x:v>
      </x:c>
    </x:row>
    <x:row r="435" ht="58" customHeight="1">
      <x:c r="A435" s="23" t="str">
        <x:v>1004262677570</x:v>
      </x:c>
      <x:c r="B435" s="22"/>
      <x:c r="C435" s="22"/>
      <x:c r="D435" s="22"/>
      <x:c r="E435" s="9" t="str">
        <x:v>裙长未明确</x:v>
      </x:c>
      <x:c r="F435" s="9" t="str">
        <x:v>裙装</x:v>
      </x:c>
      <x:c r="G435" s="9" t="str">
        <x:v>半身裙</x:v>
      </x:c>
      <x:c r="H435" s="9" t="str">
        <x:v>女</x:v>
      </x:c>
      <x:c r="I435" s="9" t="str">
        <x:v>【汤圆TOYO】INITIAL24冬季新款高腰百褶半身裙女234</x:v>
      </x:c>
      <x:c r="J435" s="9" t="str">
        <x:v>INITIAL</x:v>
      </x:c>
      <x:c r="K435" s="24" t="n">
        <x:v>1580</x:v>
      </x:c>
      <x:c r="L435" s="25" t="e">
        <x:f>HYPERLINK("https://item.taobao.com/item.htm?id=1004262677570","打开商品")</x:f>
        <x:v>HYPERLINK is not implemented. linkLocation=https://item.taobao.com/item.htm?id=1004262677570, friendlyName=打开商品</x:v>
      </x:c>
      <x:c r="M435" s="25" t="e">
        <x:f>HYPERLINK("https://data.zhiyitech.cn/itemDetail/overview/base?itemId=1004262677570","打开知衣")</x:f>
        <x:v>HYPERLINK is not implemented. linkLocation=https://data.zhiyitech.cn/itemDetail/overview/base?itemId=1004262677570, friendlyName=打开知衣</x:v>
      </x:c>
      <x:c r="N435" s="25" t="e">
        <x:f>HYPERLINK("https://img.alicdn.com/imgextra/i1/4092871501/O1CN01weiDl61MxVbh9sfrt_!!4092871501.jpg","查看主图")</x:f>
        <x:v>HYPERLINK is not implemented. linkLocation=https://img.alicdn.com/imgextra/i1/4092871501/O1CN01weiDl61MxVbh9sfrt_!!4092871501.jpg, friendlyName=查看主图</x:v>
      </x:c>
      <x:c r="O435" s="9" t="str">
        <x:v>标题及既有类目语义复核；【汤圆TOYO】INITIAL24冬季新款高腰百褶半身裙女234；原类目及标题已能确认半身裙；展示使用已知大类，未知裙长下沉到结构字段，不强猜长短。</x:v>
      </x:c>
      <x:c r="P435" s="9" t="str">
        <x:v>普通男女装</x:v>
      </x:c>
      <x:c r="Q435" s="9" t="str">
        <x:v>W_SKIRTS_AVGPAID_1500_1600_ANNUAL2026.xlsx</x:v>
      </x:c>
      <x:c r="R435" s="9" t="str">
        <x:v>默认</x:v>
      </x:c>
      <x:c r="S435" s="9" t="n">
        <x:v>390</x:v>
      </x:c>
      <x:c r="T435" s="9" t="str">
        <x:v>deede8b56943df4f914be45dba170f12e69064023d6ef0e88dbde1764f6ba23e</x:v>
      </x:c>
      <x:c r="U435" s="9" t="str">
        <x:v>W_SKIRTS_AVGPAID_1500_1600_ANNUAL2026</x:v>
      </x:c>
      <x:c r="V435" s="9" t="str">
        <x:v>W_SKIRTS_AVGPAID_1500_1600_ANNUAL2026.xlsx / 默认 / 第390行 / SHA256 deede8b56943df4f914be45dba170f12e69064023d6ef0e88dbde1764f6ba23e</x:v>
      </x:c>
    </x:row>
    <x:row r="436" ht="58" customHeight="1">
      <x:c r="A436" s="23" t="str">
        <x:v>1028533769945</x:v>
      </x:c>
      <x:c r="B436" s="22"/>
      <x:c r="C436" s="22"/>
      <x:c r="D436" s="22"/>
      <x:c r="E436" s="9" t="str">
        <x:v>裙长未明确</x:v>
      </x:c>
      <x:c r="F436" s="9" t="str">
        <x:v>裙装</x:v>
      </x:c>
      <x:c r="G436" s="9" t="str">
        <x:v>半身裙</x:v>
      </x:c>
      <x:c r="H436" s="9" t="str">
        <x:v>女</x:v>
      </x:c>
      <x:c r="I436" s="9" t="str">
        <x:v>【汤圆TOYO】INITIAL春夏新款休闲时尚蛋糕裙女VV832</x:v>
      </x:c>
      <x:c r="J436" s="9" t="str">
        <x:v>INITIAL</x:v>
      </x:c>
      <x:c r="K436" s="24" t="n">
        <x:v>1580</x:v>
      </x:c>
      <x:c r="L436" s="25" t="e">
        <x:f>HYPERLINK("https://item.taobao.com/item.htm?id=1028533769945","打开商品")</x:f>
        <x:v>HYPERLINK is not implemented. linkLocation=https://item.taobao.com/item.htm?id=1028533769945, friendlyName=打开商品</x:v>
      </x:c>
      <x:c r="M436" s="25" t="e">
        <x:f>HYPERLINK("https://data.zhiyitech.cn/itemDetail/overview/base?itemId=1028533769945","打开知衣")</x:f>
        <x:v>HYPERLINK is not implemented. linkLocation=https://data.zhiyitech.cn/itemDetail/overview/base?itemId=1028533769945, friendlyName=打开知衣</x:v>
      </x:c>
      <x:c r="N436" s="25" t="e">
        <x:f>HYPERLINK("https://img.alicdn.com/bao/uploaded/i4/4092871501/O1CN01oIyGhI1MxVcb8mNNR_!!4092871501.jpg","查看主图")</x:f>
        <x:v>HYPERLINK is not implemented. linkLocation=https://img.alicdn.com/bao/uploaded/i4/4092871501/O1CN01oIyGhI1MxVcb8mNNR_!!4092871501.jpg, friendlyName=查看主图</x:v>
      </x:c>
      <x:c r="O436" s="9" t="str">
        <x:v>标题及既有类目语义复核；【汤圆TOYO】INITIAL春夏新款休闲时尚蛋糕裙女VV832；原类目及标题已能确认半身裙；展示使用已知大类，未知裙长下沉到结构字段，不强猜长短。</x:v>
      </x:c>
      <x:c r="P436" s="9" t="str">
        <x:v>普通男女装</x:v>
      </x:c>
      <x:c r="Q436" s="9" t="str">
        <x:v>W_SKIRTS_AVGPAID_1500_1600_ANNUAL2026.xlsx</x:v>
      </x:c>
      <x:c r="R436" s="9" t="str">
        <x:v>默认</x:v>
      </x:c>
      <x:c r="S436" s="9" t="n">
        <x:v>403</x:v>
      </x:c>
      <x:c r="T436" s="9" t="str">
        <x:v>deede8b56943df4f914be45dba170f12e69064023d6ef0e88dbde1764f6ba23e</x:v>
      </x:c>
      <x:c r="U436" s="9" t="str">
        <x:v>W_SKIRTS_AVGPAID_1500_1600_ANNUAL2026</x:v>
      </x:c>
      <x:c r="V436" s="9" t="str">
        <x:v>W_SKIRTS_AVGPAID_1500_1600_ANNUAL2026.xlsx / 默认 / 第403行 / SHA256 deede8b56943df4f914be45dba170f12e69064023d6ef0e88dbde1764f6ba23e</x:v>
      </x:c>
    </x:row>
    <x:row r="437" ht="58" customHeight="1">
      <x:c r="A437" s="23" t="str">
        <x:v>1040268892551</x:v>
      </x:c>
      <x:c r="B437" s="22"/>
      <x:c r="C437" s="22"/>
      <x:c r="D437" s="22"/>
      <x:c r="E437" s="9" t="str">
        <x:v>裙长未明确</x:v>
      </x:c>
      <x:c r="F437" s="9" t="str">
        <x:v>裙装</x:v>
      </x:c>
      <x:c r="G437" s="9" t="str">
        <x:v>半身裙</x:v>
      </x:c>
      <x:c r="H437" s="9" t="str">
        <x:v>女</x:v>
      </x:c>
      <x:c r="I437" s="9" t="str">
        <x:v>【莱赛尔】INITIAL 26夏季新款复古摩登牛仔半裙女26UKTFMCDM208</x:v>
      </x:c>
      <x:c r="J437" s="9" t="str">
        <x:v>INITIAL</x:v>
      </x:c>
      <x:c r="K437" s="24" t="n">
        <x:v>1529.76</x:v>
      </x:c>
      <x:c r="L437" s="25" t="e">
        <x:f>HYPERLINK("https://item.taobao.com/item.htm?id=1040268892551","打开商品")</x:f>
        <x:v>HYPERLINK is not implemented. linkLocation=https://item.taobao.com/item.htm?id=1040268892551, friendlyName=打开商品</x:v>
      </x:c>
      <x:c r="M437" s="25" t="e">
        <x:f>HYPERLINK("https://data.zhiyitech.cn/itemDetail/overview/base?itemId=1040268892551","打开知衣")</x:f>
        <x:v>HYPERLINK is not implemented. linkLocation=https://data.zhiyitech.cn/itemDetail/overview/base?itemId=1040268892551, friendlyName=打开知衣</x:v>
      </x:c>
      <x:c r="N437" s="25" t="e">
        <x:f>HYPERLINK("https://img.alicdn.com/bao/uploaded/i2/4092871501/O1CN016kgc4ytDm2J1chua_!!4092871501.jpg","查看主图")</x:f>
        <x:v>HYPERLINK is not implemented. linkLocation=https://img.alicdn.com/bao/uploaded/i2/4092871501/O1CN016kgc4ytDm2J1chua_!!4092871501.jpg, friendlyName=查看主图</x:v>
      </x:c>
      <x:c r="O437" s="9" t="str">
        <x:v>标题及既有类目语义复核；【莱赛尔】INITIAL 26夏季新款复古摩登牛仔半裙女26UKTFMCDM208；原类目及标题已能确认半身裙；展示使用已知大类，未知裙长下沉到结构字段，不强猜长短。</x:v>
      </x:c>
      <x:c r="P437" s="9" t="str">
        <x:v>普通男女装</x:v>
      </x:c>
      <x:c r="Q437" s="9" t="str">
        <x:v>W_SKIRTS_AVGPAID_1500_1600_ANNUAL2026.xlsx</x:v>
      </x:c>
      <x:c r="R437" s="9" t="str">
        <x:v>默认</x:v>
      </x:c>
      <x:c r="S437" s="9" t="n">
        <x:v>292</x:v>
      </x:c>
      <x:c r="T437" s="9" t="str">
        <x:v>deede8b56943df4f914be45dba170f12e69064023d6ef0e88dbde1764f6ba23e</x:v>
      </x:c>
      <x:c r="U437" s="9" t="str">
        <x:v>W_SKIRTS_AVGPAID_1500_1600_ANNUAL2026</x:v>
      </x:c>
      <x:c r="V437" s="9" t="str">
        <x:v>W_SKIRTS_AVGPAID_1500_1600_ANNUAL2026.xlsx / 默认 / 第292行 / SHA256 deede8b56943df4f914be45dba170f12e69064023d6ef0e88dbde1764f6ba23e</x:v>
      </x:c>
    </x:row>
    <x:row r="438" ht="58" customHeight="1">
      <x:c r="A438" s="23" t="str">
        <x:v>1041220381814</x:v>
      </x:c>
      <x:c r="B438" s="22"/>
      <x:c r="C438" s="22"/>
      <x:c r="D438" s="22"/>
      <x:c r="E438" s="9" t="str">
        <x:v>裙长未明确</x:v>
      </x:c>
      <x:c r="F438" s="9" t="str">
        <x:v>裙装</x:v>
      </x:c>
      <x:c r="G438" s="9" t="str">
        <x:v>半身裙</x:v>
      </x:c>
      <x:c r="H438" s="9" t="str">
        <x:v>女</x:v>
      </x:c>
      <x:c r="I438" s="9" t="str">
        <x:v>【摇滚猫咪】INITIAL 26夏季新款复古摩登印花半裙26UKTFMCXX198</x:v>
      </x:c>
      <x:c r="J438" s="9" t="str">
        <x:v>INITIAL</x:v>
      </x:c>
      <x:c r="K438" s="24" t="n">
        <x:v>1501.08</x:v>
      </x:c>
      <x:c r="L438" s="25" t="e">
        <x:f>HYPERLINK("https://item.taobao.com/item.htm?id=1041220381814","打开商品")</x:f>
        <x:v>HYPERLINK is not implemented. linkLocation=https://item.taobao.com/item.htm?id=1041220381814, friendlyName=打开商品</x:v>
      </x:c>
      <x:c r="M438" s="25" t="e">
        <x:f>HYPERLINK("https://data.zhiyitech.cn/itemDetail/overview/base?itemId=1041220381814","打开知衣")</x:f>
        <x:v>HYPERLINK is not implemented. linkLocation=https://data.zhiyitech.cn/itemDetail/overview/base?itemId=1041220381814, friendlyName=打开知衣</x:v>
      </x:c>
      <x:c r="N438" s="25" t="e">
        <x:f>HYPERLINK("https://img.alicdn.com/bao/uploaded/i3/4092871501/O1CN01X16X75jjahB1chua_!!4092871501.jpg","查看主图")</x:f>
        <x:v>HYPERLINK is not implemented. linkLocation=https://img.alicdn.com/bao/uploaded/i3/4092871501/O1CN01X16X75jjahB1chua_!!4092871501.jpg, friendlyName=查看主图</x:v>
      </x:c>
      <x:c r="O438" s="9" t="str">
        <x:v>标题及既有类目语义复核；【摇滚猫咪】INITIAL 26夏季新款复古摩登印花半裙26UKTFMCXX198；原类目及标题已能确认半身裙；展示使用已知大类，未知裙长下沉到结构字段，不强猜长短。</x:v>
      </x:c>
      <x:c r="P438" s="9" t="str">
        <x:v>普通男女装</x:v>
      </x:c>
      <x:c r="Q438" s="9" t="str">
        <x:v>W_SKIRTS_AVGPAID_1500_1600_ANNUAL2026.xlsx</x:v>
      </x:c>
      <x:c r="R438" s="9" t="str">
        <x:v>默认</x:v>
      </x:c>
      <x:c r="S438" s="9" t="n">
        <x:v>254</x:v>
      </x:c>
      <x:c r="T438" s="9" t="str">
        <x:v>deede8b56943df4f914be45dba170f12e69064023d6ef0e88dbde1764f6ba23e</x:v>
      </x:c>
      <x:c r="U438" s="9" t="str">
        <x:v>W_SKIRTS_AVGPAID_1500_1600_ANNUAL2026</x:v>
      </x:c>
      <x:c r="V438" s="9" t="str">
        <x:v>W_SKIRTS_AVGPAID_1500_1600_ANNUAL2026.xlsx / 默认 / 第254行 / SHA256 deede8b56943df4f914be45dba170f12e69064023d6ef0e88dbde1764f6ba23e</x:v>
      </x:c>
    </x:row>
    <x:row r="439" ht="58" customHeight="1">
      <x:c r="A439" s="23" t="str">
        <x:v>1036759790871</x:v>
      </x:c>
      <x:c r="B439" s="22"/>
      <x:c r="C439" s="22"/>
      <x:c r="D439" s="22"/>
      <x:c r="E439" s="9" t="str">
        <x:v>裙长未明确</x:v>
      </x:c>
      <x:c r="F439" s="9" t="str">
        <x:v>裙装</x:v>
      </x:c>
      <x:c r="G439" s="9" t="str">
        <x:v>半身裙</x:v>
      </x:c>
      <x:c r="H439" s="9" t="str">
        <x:v>女</x:v>
      </x:c>
      <x:c r="I439" s="9" t="str">
        <x:v>INSUN恩裳专选2026夏季休闲印花时尚百搭A型半身裙</x:v>
      </x:c>
      <x:c r="J439" s="9" t="str">
        <x:v>INSUN/恩裳</x:v>
      </x:c>
      <x:c r="K439" s="24" t="n">
        <x:v>1767.83</x:v>
      </x:c>
      <x:c r="L439" s="25" t="e">
        <x:f>HYPERLINK("https://item.taobao.com/item.htm?id=1036759790871","打开商品")</x:f>
        <x:v>HYPERLINK is not implemented. linkLocation=https://item.taobao.com/item.htm?id=1036759790871, friendlyName=打开商品</x:v>
      </x:c>
      <x:c r="M439" s="25" t="e">
        <x:f>HYPERLINK("https://data.zhiyitech.cn/itemDetail/overview/base?itemId=1036759790871","打开知衣")</x:f>
        <x:v>HYPERLINK is not implemented. linkLocation=https://data.zhiyitech.cn/itemDetail/overview/base?itemId=1036759790871, friendlyName=打开知衣</x:v>
      </x:c>
      <x:c r="N439" s="25" t="e">
        <x:f>HYPERLINK("https://img.alicdn.com/bao/uploaded/i3/604622217/O1CN01V5j8Ym1SFRCyT9hve_!!4611686018427383177-0-item_pic.jpg","查看主图")</x:f>
        <x:v>HYPERLINK is not implemented. linkLocation=https://img.alicdn.com/bao/uploaded/i3/604622217/O1CN01V5j8Ym1SFRCyT9hve_!!4611686018427383177-0-item_pic.jpg, friendlyName=查看主图</x:v>
      </x:c>
      <x:c r="O439" s="9" t="str">
        <x:v>标题及既有类目语义复核；INSUN恩裳专选2026夏季休闲印花时尚百搭A型半身裙；原类目及标题已能确认半身裙；展示使用已知大类，未知裙长下沉到结构字段，不强猜长短。</x:v>
      </x:c>
      <x:c r="P439" s="9" t="str">
        <x:v>普通男女装</x:v>
      </x:c>
      <x:c r="Q439" s="9" t="str">
        <x:v>W_SKIRTS_AVGPAID_1700_1800_ANNUAL2026.xlsx</x:v>
      </x:c>
      <x:c r="R439" s="9" t="str">
        <x:v>默认</x:v>
      </x:c>
      <x:c r="S439" s="9" t="n">
        <x:v>235</x:v>
      </x:c>
      <x:c r="T439" s="9" t="str">
        <x:v>c25ed77c53c7c5cfcf728778a0e9b297d8689503f62756a939cbd534ca9b587a</x:v>
      </x:c>
      <x:c r="U439" s="9" t="str">
        <x:v>W_SKIRTS_AVGPAID_1700_1800_ANNUAL2026</x:v>
      </x:c>
      <x:c r="V439" s="9" t="str">
        <x:v>W_SKIRTS_AVGPAID_1700_1800_ANNUAL2026.xlsx / 默认 / 第235行 / SHA256 c25ed77c53c7c5cfcf728778a0e9b297d8689503f62756a939cbd534ca9b587a</x:v>
      </x:c>
    </x:row>
    <x:row r="440" ht="58" customHeight="1">
      <x:c r="A440" s="23" t="str">
        <x:v>1046512470660</x:v>
      </x:c>
      <x:c r="B440" s="22"/>
      <x:c r="C440" s="22"/>
      <x:c r="D440" s="22"/>
      <x:c r="E440" s="9" t="str">
        <x:v>裙长未明确</x:v>
      </x:c>
      <x:c r="F440" s="9" t="str">
        <x:v>裙装</x:v>
      </x:c>
      <x:c r="G440" s="9" t="str">
        <x:v>半身裙</x:v>
      </x:c>
      <x:c r="H440" s="9" t="str">
        <x:v>女</x:v>
      </x:c>
      <x:c r="I440" s="9" t="str">
        <x:v>INSUN恩裳2026夏季极简风自然褶皱醋酸A字半身裙</x:v>
      </x:c>
      <x:c r="J440" s="9" t="str">
        <x:v>INSUN/恩裳</x:v>
      </x:c>
      <x:c r="K440" s="24" t="n">
        <x:v>1712.46</x:v>
      </x:c>
      <x:c r="L440" s="25" t="e">
        <x:f>HYPERLINK("https://item.taobao.com/item.htm?id=1046512470660","打开商品")</x:f>
        <x:v>HYPERLINK is not implemented. linkLocation=https://item.taobao.com/item.htm?id=1046512470660, friendlyName=打开商品</x:v>
      </x:c>
      <x:c r="M440" s="25" t="e">
        <x:f>HYPERLINK("https://data.zhiyitech.cn/itemDetail/overview/base?itemId=1046512470660","打开知衣")</x:f>
        <x:v>HYPERLINK is not implemented. linkLocation=https://data.zhiyitech.cn/itemDetail/overview/base?itemId=1046512470660, friendlyName=打开知衣</x:v>
      </x:c>
      <x:c r="N440" s="25" t="e">
        <x:f>HYPERLINK("https://img.alicdn.com/bao/uploaded/i1/604622217/O1CN0181eLJa1SFRDMkNNjt_!!4611686018427383177-0-item_pic.jpg","查看主图")</x:f>
        <x:v>HYPERLINK is not implemented. linkLocation=https://img.alicdn.com/bao/uploaded/i1/604622217/O1CN0181eLJa1SFRDMkNNjt_!!4611686018427383177-0-item_pic.jpg, friendlyName=查看主图</x:v>
      </x:c>
      <x:c r="O440" s="9" t="str">
        <x:v>标题及既有类目语义复核；INSUN恩裳2026夏季极简风自然褶皱醋酸A字半身裙；原类目及标题已能确认半身裙；展示使用已知大类，未知裙长下沉到结构字段，不强猜长短。</x:v>
      </x:c>
      <x:c r="P440" s="9" t="str">
        <x:v>普通男女装</x:v>
      </x:c>
      <x:c r="Q440" s="9" t="str">
        <x:v>W_SKIRTS_AVGPAID_1700_1800_ANNUAL2026.xlsx</x:v>
      </x:c>
      <x:c r="R440" s="9" t="str">
        <x:v>默认</x:v>
      </x:c>
      <x:c r="S440" s="9" t="n">
        <x:v>473</x:v>
      </x:c>
      <x:c r="T440" s="9" t="str">
        <x:v>c25ed77c53c7c5cfcf728778a0e9b297d8689503f62756a939cbd534ca9b587a</x:v>
      </x:c>
      <x:c r="U440" s="9" t="str">
        <x:v>W_SKIRTS_AVGPAID_1700_1800_ANNUAL2026</x:v>
      </x:c>
      <x:c r="V440" s="9" t="str">
        <x:v>W_SKIRTS_AVGPAID_1700_1800_ANNUAL2026.xlsx / 默认 / 第473行 / SHA256 c25ed77c53c7c5cfcf728778a0e9b297d8689503f62756a939cbd534ca9b587a</x:v>
      </x:c>
    </x:row>
    <x:row r="441" ht="58" customHeight="1">
      <x:c r="A441" s="23" t="str">
        <x:v>1061932477252</x:v>
      </x:c>
      <x:c r="B441" s="22"/>
      <x:c r="C441" s="22"/>
      <x:c r="D441" s="22"/>
      <x:c r="E441" s="9" t="str">
        <x:v>裙长未明确</x:v>
      </x:c>
      <x:c r="F441" s="9" t="str">
        <x:v>裙装</x:v>
      </x:c>
      <x:c r="G441" s="9" t="str">
        <x:v>半身裙</x:v>
      </x:c>
      <x:c r="H441" s="9" t="str">
        <x:v>女</x:v>
      </x:c>
      <x:c r="I441" s="9" t="str">
        <x:v>「任意套装」INSUN恩裳专选2026秋季气质通勤风A型100%苎麻半身裙</x:v>
      </x:c>
      <x:c r="J441" s="9" t="str">
        <x:v>INSUN/恩裳</x:v>
      </x:c>
      <x:c r="K441" s="24" t="n">
        <x:v>1792.03</x:v>
      </x:c>
      <x:c r="L441" s="25" t="e">
        <x:f>HYPERLINK("https://item.taobao.com/item.htm?id=1061932477252","打开商品")</x:f>
        <x:v>HYPERLINK is not implemented. linkLocation=https://item.taobao.com/item.htm?id=1061932477252, friendlyName=打开商品</x:v>
      </x:c>
      <x:c r="M441" s="25" t="e">
        <x:f>HYPERLINK("https://data.zhiyitech.cn/itemDetail/overview/base?itemId=1061932477252","打开知衣")</x:f>
        <x:v>HYPERLINK is not implemented. linkLocation=https://data.zhiyitech.cn/itemDetail/overview/base?itemId=1061932477252, friendlyName=打开知衣</x:v>
      </x:c>
      <x:c r="N441" s="25" t="e">
        <x:f>HYPERLINK("https://img.alicdn.com/bao/uploaded/i1/604622217/O1CN01edyrlq1SFRE8UUYlY_!!4611686018427383177-0-item_pic.jpg","查看主图")</x:f>
        <x:v>HYPERLINK is not implemented. linkLocation=https://img.alicdn.com/bao/uploaded/i1/604622217/O1CN01edyrlq1SFRE8UUYlY_!!4611686018427383177-0-item_pic.jpg, friendlyName=查看主图</x:v>
      </x:c>
      <x:c r="O441" s="9" t="str">
        <x:v>标题及既有类目语义复核；「任意套装」INSUN恩裳专选2026秋季气质通勤风A型100%苎麻半身裙；原类目及标题已能确认半身裙；展示使用已知大类，未知裙长下沉到结构字段，不强猜长短。</x:v>
      </x:c>
      <x:c r="P441" s="9" t="str">
        <x:v>普通男女装</x:v>
      </x:c>
      <x:c r="Q441" s="9" t="str">
        <x:v>W_SKIRTS_AVGPAID_1700_1800_ANNUAL2026.xlsx</x:v>
      </x:c>
      <x:c r="R441" s="9" t="str">
        <x:v>默认</x:v>
      </x:c>
      <x:c r="S441" s="9" t="n">
        <x:v>173</x:v>
      </x:c>
      <x:c r="T441" s="9" t="str">
        <x:v>c25ed77c53c7c5cfcf728778a0e9b297d8689503f62756a939cbd534ca9b587a</x:v>
      </x:c>
      <x:c r="U441" s="9" t="str">
        <x:v>W_SKIRTS_AVGPAID_1700_1800_ANNUAL2026</x:v>
      </x:c>
      <x:c r="V441" s="9" t="str">
        <x:v>W_SKIRTS_AVGPAID_1700_1800_ANNUAL2026.xlsx / 默认 / 第173行 / SHA256 c25ed77c53c7c5cfcf728778a0e9b297d8689503f62756a939cbd534ca9b587a</x:v>
      </x:c>
    </x:row>
    <x:row r="442" ht="58" customHeight="1">
      <x:c r="A442" s="23" t="str">
        <x:v>1062196224939</x:v>
      </x:c>
      <x:c r="B442" s="22"/>
      <x:c r="C442" s="22"/>
      <x:c r="D442" s="22"/>
      <x:c r="E442" s="9" t="str">
        <x:v>裙长未明确</x:v>
      </x:c>
      <x:c r="F442" s="9" t="str">
        <x:v>裙装</x:v>
      </x:c>
      <x:c r="G442" s="9" t="str">
        <x:v>半身裙</x:v>
      </x:c>
      <x:c r="H442" s="9" t="str">
        <x:v>女</x:v>
      </x:c>
      <x:c r="I442" s="9" t="str">
        <x:v>INSUN恩裳专选2026秋季老钱风气质正反褶皱直筒半身裙</x:v>
      </x:c>
      <x:c r="J442" s="9" t="str">
        <x:v>INSUN/恩裳</x:v>
      </x:c>
      <x:c r="K442" s="24" t="n">
        <x:v>1352.71</x:v>
      </x:c>
      <x:c r="L442" s="25" t="e">
        <x:f>HYPERLINK("https://item.taobao.com/item.htm?id=1062196224939","打开商品")</x:f>
        <x:v>HYPERLINK is not implemented. linkLocation=https://item.taobao.com/item.htm?id=1062196224939, friendlyName=打开商品</x:v>
      </x:c>
      <x:c r="M442" s="25" t="e">
        <x:f>HYPERLINK("https://data.zhiyitech.cn/itemDetail/overview/base?itemId=1062196224939","打开知衣")</x:f>
        <x:v>HYPERLINK is not implemented. linkLocation=https://data.zhiyitech.cn/itemDetail/overview/base?itemId=1062196224939, friendlyName=打开知衣</x:v>
      </x:c>
      <x:c r="N442" s="25" t="e">
        <x:f>HYPERLINK("https://img.alicdn.com/bao/uploaded/i3/604622217/O1CN01z8b6Qd1SFRE6RuJhQ_!!4611686018427383177-0-item_pic.jpg","查看主图")</x:f>
        <x:v>HYPERLINK is not implemented. linkLocation=https://img.alicdn.com/bao/uploaded/i3/604622217/O1CN01z8b6Qd1SFRE6RuJhQ_!!4611686018427383177-0-item_pic.jpg, friendlyName=查看主图</x:v>
      </x:c>
      <x:c r="O442" s="9" t="str">
        <x:v>标题及既有类目语义复核；INSUN恩裳专选2026秋季老钱风气质正反褶皱直筒半身裙；原类目及标题已能确认半身裙；展示使用已知大类，未知裙长下沉到结构字段，不强猜长短。</x:v>
      </x:c>
      <x:c r="P442" s="9" t="str">
        <x:v>普通男女装</x:v>
      </x:c>
      <x:c r="Q442" s="9" t="str">
        <x:v>W_SKIRTS_AVGPAID_1300_1400_ANNUAL2026.xlsx</x:v>
      </x:c>
      <x:c r="R442" s="9" t="str">
        <x:v>默认</x:v>
      </x:c>
      <x:c r="S442" s="9" t="n">
        <x:v>446</x:v>
      </x:c>
      <x:c r="T442" s="9" t="str">
        <x:v>bd4dae1e08e9eca7ddd0669235bf59107cdc418b9c2898fc16f36a7ab5748692</x:v>
      </x:c>
      <x:c r="U442" s="9" t="str">
        <x:v>W_SKIRTS_AVGPAID_1300_1400_ANNUAL2026</x:v>
      </x:c>
      <x:c r="V442" s="9" t="str">
        <x:v>W_SKIRTS_AVGPAID_1300_1400_ANNUAL2026.xlsx / 默认 / 第446行 / SHA256 bd4dae1e08e9eca7ddd0669235bf59107cdc418b9c2898fc16f36a7ab5748692</x:v>
      </x:c>
    </x:row>
    <x:row r="443" ht="58" customHeight="1">
      <x:c r="A443" s="23" t="str">
        <x:v>1070816451397</x:v>
      </x:c>
      <x:c r="B443" s="22"/>
      <x:c r="C443" s="22"/>
      <x:c r="D443" s="22"/>
      <x:c r="E443" s="9" t="str">
        <x:v>裙长未明确</x:v>
      </x:c>
      <x:c r="F443" s="9" t="str">
        <x:v>裙装</x:v>
      </x:c>
      <x:c r="G443" s="9" t="str">
        <x:v>半身裙</x:v>
      </x:c>
      <x:c r="H443" s="9" t="str">
        <x:v>女</x:v>
      </x:c>
      <x:c r="I443" s="9" t="str">
        <x:v>INSUN恩裳专选2026冬季通勤风A字绵羊毛压褶半身裙</x:v>
      </x:c>
      <x:c r="J443" s="9" t="str">
        <x:v>INSUN/恩裳</x:v>
      </x:c>
      <x:c r="K443" s="24" t="n">
        <x:v>1792.66</x:v>
      </x:c>
      <x:c r="L443" s="25" t="e">
        <x:f>HYPERLINK("https://item.taobao.com/item.htm?id=1070816451397","打开商品")</x:f>
        <x:v>HYPERLINK is not implemented. linkLocation=https://item.taobao.com/item.htm?id=1070816451397, friendlyName=打开商品</x:v>
      </x:c>
      <x:c r="M443" s="25" t="e">
        <x:f>HYPERLINK("https://data.zhiyitech.cn/itemDetail/overview/base?itemId=1070816451397","打开知衣")</x:f>
        <x:v>HYPERLINK is not implemented. linkLocation=https://data.zhiyitech.cn/itemDetail/overview/base?itemId=1070816451397, friendlyName=打开知衣</x:v>
      </x:c>
      <x:c r="N443" s="25" t="e">
        <x:f>HYPERLINK("https://img.alicdn.com/bao/uploaded/i3/604622217/O1CN01qEjDaqz6eJL3thOC_!!4611686018427383177-0-item_pic.jpg","查看主图")</x:f>
        <x:v>HYPERLINK is not implemented. linkLocation=https://img.alicdn.com/bao/uploaded/i3/604622217/O1CN01qEjDaqz6eJL3thOC_!!4611686018427383177-0-item_pic.jpg, friendlyName=查看主图</x:v>
      </x:c>
      <x:c r="O443" s="9" t="str">
        <x:v>标题及既有类目语义复核；INSUN恩裳专选2026冬季通勤风A字绵羊毛压褶半身裙；原类目及标题已能确认半身裙；展示使用已知大类，未知裙长下沉到结构字段，不强猜长短。</x:v>
      </x:c>
      <x:c r="P443" s="9" t="str">
        <x:v>普通男女装</x:v>
      </x:c>
      <x:c r="Q443" s="9" t="str">
        <x:v>W_SKIRTS_AVGPAID_1700_1800_ANNUAL2026.xlsx</x:v>
      </x:c>
      <x:c r="R443" s="9" t="str">
        <x:v>默认</x:v>
      </x:c>
      <x:c r="S443" s="9" t="n">
        <x:v>416</x:v>
      </x:c>
      <x:c r="T443" s="9" t="str">
        <x:v>c25ed77c53c7c5cfcf728778a0e9b297d8689503f62756a939cbd534ca9b587a</x:v>
      </x:c>
      <x:c r="U443" s="9" t="str">
        <x:v>W_SKIRTS_AVGPAID_1700_1800_ANNUAL2026</x:v>
      </x:c>
      <x:c r="V443" s="9" t="str">
        <x:v>W_SKIRTS_AVGPAID_1700_1800_ANNUAL2026.xlsx / 默认 / 第416行 / SHA256 c25ed77c53c7c5cfcf728778a0e9b297d8689503f62756a939cbd534ca9b587a</x:v>
      </x:c>
    </x:row>
    <x:row r="444" ht="58" customHeight="1">
      <x:c r="A444" s="23" t="str">
        <x:v>902911512527</x:v>
      </x:c>
      <x:c r="B444" s="22"/>
      <x:c r="C444" s="22"/>
      <x:c r="D444" s="22"/>
      <x:c r="E444" s="9" t="str">
        <x:v>裙长未明确</x:v>
      </x:c>
      <x:c r="F444" s="9" t="str">
        <x:v>裙装</x:v>
      </x:c>
      <x:c r="G444" s="9" t="str">
        <x:v>半身裙</x:v>
      </x:c>
      <x:c r="H444" s="9" t="str">
        <x:v>女</x:v>
      </x:c>
      <x:c r="I444" s="9" t="str">
        <x:v>INSUN恩裳夏季山系压褶伞裙有机棉半身裙</x:v>
      </x:c>
      <x:c r="J444" s="9" t="str">
        <x:v>INSUN/恩裳</x:v>
      </x:c>
      <x:c r="K444" s="24" t="n">
        <x:v>1714.74</x:v>
      </x:c>
      <x:c r="L444" s="25" t="e">
        <x:f>HYPERLINK("https://item.taobao.com/item.htm?id=902911512527","打开商品")</x:f>
        <x:v>HYPERLINK is not implemented. linkLocation=https://item.taobao.com/item.htm?id=902911512527, friendlyName=打开商品</x:v>
      </x:c>
      <x:c r="M444" s="25" t="e">
        <x:f>HYPERLINK("https://data.zhiyitech.cn/itemDetail/overview/base?itemId=902911512527","打开知衣")</x:f>
        <x:v>HYPERLINK is not implemented. linkLocation=https://data.zhiyitech.cn/itemDetail/overview/base?itemId=902911512527, friendlyName=打开知衣</x:v>
      </x:c>
      <x:c r="N444" s="25" t="e">
        <x:f>HYPERLINK("https://img.alicdn.com/bao/uploaded/i3/604622217/O1CN01yXqYpT1SFRCpYgCmG_!!4611686018427383177-0-item_pic.jpg","查看主图")</x:f>
        <x:v>HYPERLINK is not implemented. linkLocation=https://img.alicdn.com/bao/uploaded/i3/604622217/O1CN01yXqYpT1SFRCpYgCmG_!!4611686018427383177-0-item_pic.jpg, friendlyName=查看主图</x:v>
      </x:c>
      <x:c r="O444" s="9" t="str">
        <x:v>标题及既有类目语义复核；INSUN恩裳夏季山系压褶伞裙有机棉半身裙；原类目及标题已能确认半身裙；展示使用已知大类，未知裙长下沉到结构字段，不强猜长短。</x:v>
      </x:c>
      <x:c r="P444" s="9" t="str">
        <x:v>普通男女装</x:v>
      </x:c>
      <x:c r="Q444" s="9" t="str">
        <x:v>W_SKIRTS_AVGPAID_1700_1800_ANNUAL2026.xlsx</x:v>
      </x:c>
      <x:c r="R444" s="9" t="str">
        <x:v>默认</x:v>
      </x:c>
      <x:c r="S444" s="9" t="n">
        <x:v>340</x:v>
      </x:c>
      <x:c r="T444" s="9" t="str">
        <x:v>c25ed77c53c7c5cfcf728778a0e9b297d8689503f62756a939cbd534ca9b587a</x:v>
      </x:c>
      <x:c r="U444" s="9" t="str">
        <x:v>W_SKIRTS_AVGPAID_1700_1800_ANNUAL2026</x:v>
      </x:c>
      <x:c r="V444" s="9" t="str">
        <x:v>W_SKIRTS_AVGPAID_1700_1800_ANNUAL2026.xlsx / 默认 / 第340行 / SHA256 c25ed77c53c7c5cfcf728778a0e9b297d8689503f62756a939cbd534ca9b587a</x:v>
      </x:c>
    </x:row>
    <x:row r="445" ht="58" customHeight="1">
      <x:c r="A445" s="23" t="str">
        <x:v>1010380448812</x:v>
      </x:c>
      <x:c r="B445" s="22"/>
      <x:c r="C445" s="22"/>
      <x:c r="D445" s="22"/>
      <x:c r="E445" s="9" t="str">
        <x:v>裙长未明确</x:v>
      </x:c>
      <x:c r="F445" s="9" t="str">
        <x:v>裙装</x:v>
      </x:c>
      <x:c r="G445" s="9" t="str">
        <x:v>半身裙</x:v>
      </x:c>
      <x:c r="H445" s="9" t="str">
        <x:v>女</x:v>
      </x:c>
      <x:c r="I445" s="9" t="str">
        <x:v>INTO THE EAST26春夏 茛苕油彩长袖上衣/半身裙</x:v>
      </x:c>
      <x:c r="J445" s="9" t="str">
        <x:v>INTO THE EAST</x:v>
      </x:c>
      <x:c r="K445" s="24" t="n">
        <x:v>1740.86</x:v>
      </x:c>
      <x:c r="L445" s="25" t="e">
        <x:f>HYPERLINK("https://item.taobao.com/item.htm?id=1010380448812","打开商品")</x:f>
        <x:v>HYPERLINK is not implemented. linkLocation=https://item.taobao.com/item.htm?id=1010380448812, friendlyName=打开商品</x:v>
      </x:c>
      <x:c r="M445" s="25" t="e">
        <x:f>HYPERLINK("https://data.zhiyitech.cn/itemDetail/overview/base?itemId=1010380448812","打开知衣")</x:f>
        <x:v>HYPERLINK is not implemented. linkLocation=https://data.zhiyitech.cn/itemDetail/overview/base?itemId=1010380448812, friendlyName=打开知衣</x:v>
      </x:c>
      <x:c r="N445" s="25" t="e">
        <x:f>HYPERLINK("https://img.alicdn.com/bao/uploaded/i2/143492895/O1CN0194Pj2X1XFxjKRv1Jc_!!143492895.jpg","查看主图")</x:f>
        <x:v>HYPERLINK is not implemented. linkLocation=https://img.alicdn.com/bao/uploaded/i2/143492895/O1CN0194Pj2X1XFxjKRv1Jc_!!143492895.jpg, friendlyName=查看主图</x:v>
      </x:c>
      <x:c r="O445" s="9" t="str">
        <x:v>标题及既有类目语义复核；INTO THE EAST26春夏 茛苕油彩长袖上衣/半身裙；原类目及标题已能确认半身裙；展示使用已知大类，未知裙长下沉到结构字段，不强猜长短。</x:v>
      </x:c>
      <x:c r="P445" s="9" t="str">
        <x:v>普通男女装</x:v>
      </x:c>
      <x:c r="Q445" s="9" t="str">
        <x:v>W_SKIRTS_AVGPAID_1700_1800_ANNUAL2026.xlsx</x:v>
      </x:c>
      <x:c r="R445" s="9" t="str">
        <x:v>默认</x:v>
      </x:c>
      <x:c r="S445" s="9" t="n">
        <x:v>269</x:v>
      </x:c>
      <x:c r="T445" s="9" t="str">
        <x:v>c25ed77c53c7c5cfcf728778a0e9b297d8689503f62756a939cbd534ca9b587a</x:v>
      </x:c>
      <x:c r="U445" s="9" t="str">
        <x:v>W_SKIRTS_AVGPAID_1700_1800_ANNUAL2026</x:v>
      </x:c>
      <x:c r="V445" s="9" t="str">
        <x:v>W_SKIRTS_AVGPAID_1700_1800_ANNUAL2026.xlsx / 默认 / 第269行 / SHA256 c25ed77c53c7c5cfcf728778a0e9b297d8689503f62756a939cbd534ca9b587a</x:v>
      </x:c>
    </x:row>
    <x:row r="446" ht="58" customHeight="1">
      <x:c r="A446" s="23" t="str">
        <x:v>1010817336274</x:v>
      </x:c>
      <x:c r="B446" s="22"/>
      <x:c r="C446" s="22"/>
      <x:c r="D446" s="22"/>
      <x:c r="E446" s="9" t="str">
        <x:v>裙长未明确</x:v>
      </x:c>
      <x:c r="F446" s="9" t="str">
        <x:v>裙装</x:v>
      </x:c>
      <x:c r="G446" s="9" t="str">
        <x:v>半身裙</x:v>
      </x:c>
      <x:c r="H446" s="9" t="str">
        <x:v>女</x:v>
      </x:c>
      <x:c r="I446" s="9" t="str">
        <x:v>【套装搭配】Into the east 26SS 褶皱折叠不规则半裙 扭结短衬衫</x:v>
      </x:c>
      <x:c r="J446" s="9" t="str">
        <x:v>INTO THE EAST</x:v>
      </x:c>
      <x:c r="K446" s="24" t="n">
        <x:v>1778.82</x:v>
      </x:c>
      <x:c r="L446" s="25" t="e">
        <x:f>HYPERLINK("https://item.taobao.com/item.htm?id=1010817336274","打开商品")</x:f>
        <x:v>HYPERLINK is not implemented. linkLocation=https://item.taobao.com/item.htm?id=1010817336274, friendlyName=打开商品</x:v>
      </x:c>
      <x:c r="M446" s="25" t="e">
        <x:f>HYPERLINK("https://data.zhiyitech.cn/itemDetail/overview/base?itemId=1010817336274","打开知衣")</x:f>
        <x:v>HYPERLINK is not implemented. linkLocation=https://data.zhiyitech.cn/itemDetail/overview/base?itemId=1010817336274, friendlyName=打开知衣</x:v>
      </x:c>
      <x:c r="N446" s="25" t="e">
        <x:f>HYPERLINK("https://img.alicdn.com/bao/uploaded/i1/761021629/O1CN01cVv44N1Nu8J5dllx2_!!761021629.jpg","查看主图")</x:f>
        <x:v>HYPERLINK is not implemented. linkLocation=https://img.alicdn.com/bao/uploaded/i1/761021629/O1CN01cVv44N1Nu8J5dllx2_!!761021629.jpg, friendlyName=查看主图</x:v>
      </x:c>
      <x:c r="O446" s="9" t="str">
        <x:v>标题及既有类目语义复核；【套装搭配】Into the east 26SS 褶皱折叠不规则半裙 扭结短衬衫；原类目及标题已能确认半身裙；展示使用已知大类，未知裙长下沉到结构字段，不强猜长短。</x:v>
      </x:c>
      <x:c r="P446" s="9" t="str">
        <x:v>普通男女装</x:v>
      </x:c>
      <x:c r="Q446" s="9" t="str">
        <x:v>W_SKIRTS_AVGPAID_1700_1800_ANNUAL2026.xlsx</x:v>
      </x:c>
      <x:c r="R446" s="9" t="str">
        <x:v>默认</x:v>
      </x:c>
      <x:c r="S446" s="9" t="n">
        <x:v>457</x:v>
      </x:c>
      <x:c r="T446" s="9" t="str">
        <x:v>c25ed77c53c7c5cfcf728778a0e9b297d8689503f62756a939cbd534ca9b587a</x:v>
      </x:c>
      <x:c r="U446" s="9" t="str">
        <x:v>W_SKIRTS_AVGPAID_1700_1800_ANNUAL2026</x:v>
      </x:c>
      <x:c r="V446" s="9" t="str">
        <x:v>W_SKIRTS_AVGPAID_1700_1800_ANNUAL2026.xlsx / 默认 / 第457行 / SHA256 c25ed77c53c7c5cfcf728778a0e9b297d8689503f62756a939cbd534ca9b587a</x:v>
      </x:c>
    </x:row>
    <x:row r="447" ht="58" customHeight="1">
      <x:c r="A447" s="23" t="str">
        <x:v>1047114629251</x:v>
      </x:c>
      <x:c r="B447" s="22"/>
      <x:c r="C447" s="22"/>
      <x:c r="D447" s="22"/>
      <x:c r="E447" s="9" t="str">
        <x:v>裙长未明确</x:v>
      </x:c>
      <x:c r="F447" s="9" t="str">
        <x:v>裙装</x:v>
      </x:c>
      <x:c r="G447" s="9" t="str">
        <x:v>半身裙</x:v>
      </x:c>
      <x:c r="H447" s="9" t="str">
        <x:v>女</x:v>
      </x:c>
      <x:c r="I447" s="9" t="str">
        <x:v>INTO THE EAST 松紧腰细褶亚麻裙</x:v>
      </x:c>
      <x:c r="J447" s="9" t="str">
        <x:v>INTO THE EAST</x:v>
      </x:c>
      <x:c r="K447" s="24" t="n">
        <x:v>1772.61</x:v>
      </x:c>
      <x:c r="L447" s="25" t="e">
        <x:f>HYPERLINK("https://item.taobao.com/item.htm?id=1047114629251","打开商品")</x:f>
        <x:v>HYPERLINK is not implemented. linkLocation=https://item.taobao.com/item.htm?id=1047114629251, friendlyName=打开商品</x:v>
      </x:c>
      <x:c r="M447" s="25" t="e">
        <x:f>HYPERLINK("https://data.zhiyitech.cn/itemDetail/overview/base?itemId=1047114629251","打开知衣")</x:f>
        <x:v>HYPERLINK is not implemented. linkLocation=https://data.zhiyitech.cn/itemDetail/overview/base?itemId=1047114629251, friendlyName=打开知衣</x:v>
      </x:c>
      <x:c r="N447" s="25" t="e">
        <x:f>HYPERLINK("https://img.alicdn.com/bao/uploaded/i4/2204762071/O1CN01zTjQmM1RAZO9PsQh9_!!2204762071.jpg","查看主图")</x:f>
        <x:v>HYPERLINK is not implemented. linkLocation=https://img.alicdn.com/bao/uploaded/i4/2204762071/O1CN01zTjQmM1RAZO9PsQh9_!!2204762071.jpg, friendlyName=查看主图</x:v>
      </x:c>
      <x:c r="O447" s="9" t="str">
        <x:v>标题及既有类目语义复核；INTO THE EAST 松紧腰细褶亚麻裙；原类目及标题已能确认半身裙；展示使用已知大类，未知裙长下沉到结构字段，不强猜长短。</x:v>
      </x:c>
      <x:c r="P447" s="9" t="str">
        <x:v>普通男女装</x:v>
      </x:c>
      <x:c r="Q447" s="9" t="str">
        <x:v>W_SKIRTS_AVGPAID_1700_1800_ANNUAL2026.xlsx</x:v>
      </x:c>
      <x:c r="R447" s="9" t="str">
        <x:v>默认</x:v>
      </x:c>
      <x:c r="S447" s="9" t="n">
        <x:v>293</x:v>
      </x:c>
      <x:c r="T447" s="9" t="str">
        <x:v>c25ed77c53c7c5cfcf728778a0e9b297d8689503f62756a939cbd534ca9b587a</x:v>
      </x:c>
      <x:c r="U447" s="9" t="str">
        <x:v>W_SKIRTS_AVGPAID_1700_1800_ANNUAL2026</x:v>
      </x:c>
      <x:c r="V447" s="9" t="str">
        <x:v>W_SKIRTS_AVGPAID_1700_1800_ANNUAL2026.xlsx / 默认 / 第293行 / SHA256 c25ed77c53c7c5cfcf728778a0e9b297d8689503f62756a939cbd534ca9b587a</x:v>
      </x:c>
    </x:row>
    <x:row r="448" ht="58" customHeight="1">
      <x:c r="A448" s="23" t="str">
        <x:v>1033479870071</x:v>
      </x:c>
      <x:c r="B448" s="22"/>
      <x:c r="C448" s="22"/>
      <x:c r="D448" s="22"/>
      <x:c r="E448" s="9" t="str">
        <x:v>裙长未明确</x:v>
      </x:c>
      <x:c r="F448" s="9" t="str">
        <x:v>裙装</x:v>
      </x:c>
      <x:c r="G448" s="9" t="str">
        <x:v>半身裙</x:v>
      </x:c>
      <x:c r="H448" s="9" t="str">
        <x:v>女</x:v>
      </x:c>
      <x:c r="I448" s="9" t="str">
        <x:v>设计感半裙不规则斜纹半身裙</x:v>
      </x:c>
      <x:c r="J448" s="9" t="str">
        <x:v>IRO</x:v>
      </x:c>
      <x:c r="K448" s="24" t="n">
        <x:v>1796.92</x:v>
      </x:c>
      <x:c r="L448" s="25" t="e">
        <x:f>HYPERLINK("https://item.taobao.com/item.htm?id=1033479870071","打开商品")</x:f>
        <x:v>HYPERLINK is not implemented. linkLocation=https://item.taobao.com/item.htm?id=1033479870071, friendlyName=打开商品</x:v>
      </x:c>
      <x:c r="M448" s="25" t="e">
        <x:f>HYPERLINK("https://data.zhiyitech.cn/itemDetail/overview/base?itemId=1033479870071","打开知衣")</x:f>
        <x:v>HYPERLINK is not implemented. linkLocation=https://data.zhiyitech.cn/itemDetail/overview/base?itemId=1033479870071, friendlyName=打开知衣</x:v>
      </x:c>
      <x:c r="N448" s="25" t="e">
        <x:f>HYPERLINK("https://img.alicdn.com/bao/uploaded/i2/2201422609192/O1CN01FGbEF08lPmE2vH2e-2201422609192.jpg","查看主图")</x:f>
        <x:v>HYPERLINK is not implemented. linkLocation=https://img.alicdn.com/bao/uploaded/i2/2201422609192/O1CN01FGbEF08lPmE2vH2e-2201422609192.jpg, friendlyName=查看主图</x:v>
      </x:c>
      <x:c r="O448" s="9" t="str">
        <x:v>标题及既有类目语义复核；设计感半裙不规则斜纹半身裙；原类目及标题已能确认半身裙；展示使用已知大类，未知裙长下沉到结构字段，不强猜长短。</x:v>
      </x:c>
      <x:c r="P448" s="9" t="str">
        <x:v>普通男女装</x:v>
      </x:c>
      <x:c r="Q448" s="9" t="str">
        <x:v>W_SKIRTS_AVGPAID_1700_1800_ANNUAL2026.xlsx</x:v>
      </x:c>
      <x:c r="R448" s="9" t="str">
        <x:v>默认</x:v>
      </x:c>
      <x:c r="S448" s="9" t="n">
        <x:v>477</x:v>
      </x:c>
      <x:c r="T448" s="9" t="str">
        <x:v>c25ed77c53c7c5cfcf728778a0e9b297d8689503f62756a939cbd534ca9b587a</x:v>
      </x:c>
      <x:c r="U448" s="9" t="str">
        <x:v>W_SKIRTS_AVGPAID_1700_1800_ANNUAL2026</x:v>
      </x:c>
      <x:c r="V448" s="9" t="str">
        <x:v>W_SKIRTS_AVGPAID_1700_1800_ANNUAL2026.xlsx / 默认 / 第477行 / SHA256 c25ed77c53c7c5cfcf728778a0e9b297d8689503f62756a939cbd534ca9b587a</x:v>
      </x:c>
    </x:row>
    <x:row r="449" ht="58" customHeight="1">
      <x:c r="A449" s="23" t="str">
        <x:v>961953077695</x:v>
      </x:c>
      <x:c r="B449" s="22"/>
      <x:c r="C449" s="22"/>
      <x:c r="D449" s="22"/>
      <x:c r="E449" s="9" t="str">
        <x:v>裙长未明确</x:v>
      </x:c>
      <x:c r="F449" s="9" t="str">
        <x:v>裙装</x:v>
      </x:c>
      <x:c r="G449" s="9" t="str">
        <x:v>半身裙</x:v>
      </x:c>
      <x:c r="H449" s="9" t="str">
        <x:v>女</x:v>
      </x:c>
      <x:c r="I449" s="9" t="str">
        <x:v>IRO Night 纯棉牛仔半身裙前纽扣开叉直筒简约法式轻奢秋季新款</x:v>
      </x:c>
      <x:c r="J449" s="9" t="str">
        <x:v>IRO</x:v>
      </x:c>
      <x:c r="K449" s="24" t="n">
        <x:v>1731.33</x:v>
      </x:c>
      <x:c r="L449" s="25" t="e">
        <x:f>HYPERLINK("https://item.taobao.com/item.htm?id=961953077695","打开商品")</x:f>
        <x:v>HYPERLINK is not implemented. linkLocation=https://item.taobao.com/item.htm?id=961953077695, friendlyName=打开商品</x:v>
      </x:c>
      <x:c r="M449" s="25" t="e">
        <x:f>HYPERLINK("https://data.zhiyitech.cn/itemDetail/overview/base?itemId=961953077695","打开知衣")</x:f>
        <x:v>HYPERLINK is not implemented. linkLocation=https://data.zhiyitech.cn/itemDetail/overview/base?itemId=961953077695, friendlyName=打开知衣</x:v>
      </x:c>
      <x:c r="N449" s="25" t="e">
        <x:f>HYPERLINK("https://img.alicdn.com/bao/uploaded/i1/2201422609192/O1CN01RL6gYy6PN2H2vH2e-2201422609192.jpg","查看主图")</x:f>
        <x:v>HYPERLINK is not implemented. linkLocation=https://img.alicdn.com/bao/uploaded/i1/2201422609192/O1CN01RL6gYy6PN2H2vH2e-2201422609192.jpg, friendlyName=查看主图</x:v>
      </x:c>
      <x:c r="O449" s="9" t="str">
        <x:v>标题及既有类目语义复核；IRO Night 纯棉牛仔半身裙前纽扣开叉直筒简约法式轻奢秋季新款；原类目及标题已能确认半身裙；展示使用已知大类，未知裙长下沉到结构字段，不强猜长短。</x:v>
      </x:c>
      <x:c r="P449" s="9" t="str">
        <x:v>普通男女装</x:v>
      </x:c>
      <x:c r="Q449" s="9" t="str">
        <x:v>W_SKIRTS_AVGPAID_1700_1800_ANNUAL2026.xlsx</x:v>
      </x:c>
      <x:c r="R449" s="9" t="str">
        <x:v>默认</x:v>
      </x:c>
      <x:c r="S449" s="9" t="n">
        <x:v>390</x:v>
      </x:c>
      <x:c r="T449" s="9" t="str">
        <x:v>c25ed77c53c7c5cfcf728778a0e9b297d8689503f62756a939cbd534ca9b587a</x:v>
      </x:c>
      <x:c r="U449" s="9" t="str">
        <x:v>W_SKIRTS_AVGPAID_1700_1800_ANNUAL2026</x:v>
      </x:c>
      <x:c r="V449" s="9" t="str">
        <x:v>W_SKIRTS_AVGPAID_1700_1800_ANNUAL2026.xlsx / 默认 / 第390行 / SHA256 c25ed77c53c7c5cfcf728778a0e9b297d8689503f62756a939cbd534ca9b587a</x:v>
      </x:c>
    </x:row>
    <x:row r="450" ht="58" customHeight="1">
      <x:c r="A450" s="23" t="str">
        <x:v>755767057572</x:v>
      </x:c>
      <x:c r="B450" s="22"/>
      <x:c r="C450" s="22"/>
      <x:c r="D450" s="22"/>
      <x:c r="E450" s="9" t="str">
        <x:v>裙长未明确</x:v>
      </x:c>
      <x:c r="F450" s="9" t="str">
        <x:v>裙装</x:v>
      </x:c>
      <x:c r="G450" s="9" t="str">
        <x:v>半身裙</x:v>
      </x:c>
      <x:c r="H450" s="9" t="str">
        <x:v>女</x:v>
      </x:c>
      <x:c r="I450" s="9" t="str">
        <x:v>ISABEL MARANT TILAURIA法式白色牛仔半身裙女</x:v>
      </x:c>
      <x:c r="J450" s="9" t="str">
        <x:v>ISABEL MARANT</x:v>
      </x:c>
      <x:c r="K450" s="24" t="n">
        <x:v>1593.6</x:v>
      </x:c>
      <x:c r="L450" s="25" t="e">
        <x:f>HYPERLINK("https://item.taobao.com/item.htm?id=755767057572","打开商品")</x:f>
        <x:v>HYPERLINK is not implemented. linkLocation=https://item.taobao.com/item.htm?id=755767057572, friendlyName=打开商品</x:v>
      </x:c>
      <x:c r="M450" s="25" t="e">
        <x:f>HYPERLINK("https://data.zhiyitech.cn/itemDetail/overview/base?itemId=755767057572","打开知衣")</x:f>
        <x:v>HYPERLINK is not implemented. linkLocation=https://data.zhiyitech.cn/itemDetail/overview/base?itemId=755767057572, friendlyName=打开知衣</x:v>
      </x:c>
      <x:c r="N450" s="25" t="e">
        <x:f>HYPERLINK("https://img.alicdn.com/bao/uploaded/i4/2200674461393/O1CN01KIiWwAAYouK2R3rs_!!2200674461393.jpg","查看主图")</x:f>
        <x:v>HYPERLINK is not implemented. linkLocation=https://img.alicdn.com/bao/uploaded/i4/2200674461393/O1CN01KIiWwAAYouK2R3rs_!!2200674461393.jpg, friendlyName=查看主图</x:v>
      </x:c>
      <x:c r="O450" s="9" t="str">
        <x:v>标题及既有类目语义复核；ISABEL MARANT TILAURIA法式白色牛仔半身裙女；原类目及标题已能确认半身裙；展示使用已知大类，未知裙长下沉到结构字段，不强猜长短。</x:v>
      </x:c>
      <x:c r="P450" s="9" t="str">
        <x:v>普通男女装</x:v>
      </x:c>
      <x:c r="Q450" s="9" t="str">
        <x:v>W_SKIRTS_AVGPAID_1500_1600_ANNUAL2026.xlsx</x:v>
      </x:c>
      <x:c r="R450" s="9" t="str">
        <x:v>默认</x:v>
      </x:c>
      <x:c r="S450" s="9" t="n">
        <x:v>250</x:v>
      </x:c>
      <x:c r="T450" s="9" t="str">
        <x:v>deede8b56943df4f914be45dba170f12e69064023d6ef0e88dbde1764f6ba23e</x:v>
      </x:c>
      <x:c r="U450" s="9" t="str">
        <x:v>W_SKIRTS_AVGPAID_1500_1600_ANNUAL2026</x:v>
      </x:c>
      <x:c r="V450" s="9" t="str">
        <x:v>W_SKIRTS_AVGPAID_1500_1600_ANNUAL2026.xlsx / 默认 / 第250行 / SHA256 deede8b56943df4f914be45dba170f12e69064023d6ef0e88dbde1764f6ba23e</x:v>
      </x:c>
    </x:row>
    <x:row r="451" ht="58" customHeight="1">
      <x:c r="A451" s="23" t="str">
        <x:v>759612540651</x:v>
      </x:c>
      <x:c r="B451" s="22"/>
      <x:c r="C451" s="22"/>
      <x:c r="D451" s="22"/>
      <x:c r="E451" s="9" t="str">
        <x:v>裙长未明确</x:v>
      </x:c>
      <x:c r="F451" s="9" t="str">
        <x:v>裙装</x:v>
      </x:c>
      <x:c r="G451" s="9" t="str">
        <x:v>半身裙</x:v>
      </x:c>
      <x:c r="H451" s="9" t="str">
        <x:v>女</x:v>
      </x:c>
      <x:c r="I451" s="9" t="str">
        <x:v>ISABEL MARANT TILAURIA法式休闲前开衩牛仔半身裙女</x:v>
      </x:c>
      <x:c r="J451" s="9" t="str">
        <x:v>ISABEL MARANT</x:v>
      </x:c>
      <x:c r="K451" s="24" t="n">
        <x:v>1561.35</x:v>
      </x:c>
      <x:c r="L451" s="25" t="e">
        <x:f>HYPERLINK("https://item.taobao.com/item.htm?id=759612540651","打开商品")</x:f>
        <x:v>HYPERLINK is not implemented. linkLocation=https://item.taobao.com/item.htm?id=759612540651, friendlyName=打开商品</x:v>
      </x:c>
      <x:c r="M451" s="25" t="e">
        <x:f>HYPERLINK("https://data.zhiyitech.cn/itemDetail/overview/base?itemId=759612540651","打开知衣")</x:f>
        <x:v>HYPERLINK is not implemented. linkLocation=https://data.zhiyitech.cn/itemDetail/overview/base?itemId=759612540651, friendlyName=打开知衣</x:v>
      </x:c>
      <x:c r="N451" s="25" t="e">
        <x:f>HYPERLINK("https://img.alicdn.com/bao/uploaded/i1/2200674461393/O1CN01msIb2J1MA2oiPv9Sq_!!4611686018427381457-0-item_pic.jpg","查看主图")</x:f>
        <x:v>HYPERLINK is not implemented. linkLocation=https://img.alicdn.com/bao/uploaded/i1/2200674461393/O1CN01msIb2J1MA2oiPv9Sq_!!4611686018427381457-0-item_pic.jpg, friendlyName=查看主图</x:v>
      </x:c>
      <x:c r="O451" s="9" t="str">
        <x:v>标题及既有类目语义复核；ISABEL MARANT TILAURIA法式休闲前开衩牛仔半身裙女；原类目及标题已能确认半身裙；展示使用已知大类，未知裙长下沉到结构字段，不强猜长短。</x:v>
      </x:c>
      <x:c r="P451" s="9" t="str">
        <x:v>普通男女装</x:v>
      </x:c>
      <x:c r="Q451" s="9" t="str">
        <x:v>W_SKIRTS_AVGPAID_1500_1600_ANNUAL2026.xlsx</x:v>
      </x:c>
      <x:c r="R451" s="9" t="str">
        <x:v>默认</x:v>
      </x:c>
      <x:c r="S451" s="9" t="n">
        <x:v>127</x:v>
      </x:c>
      <x:c r="T451" s="9" t="str">
        <x:v>deede8b56943df4f914be45dba170f12e69064023d6ef0e88dbde1764f6ba23e</x:v>
      </x:c>
      <x:c r="U451" s="9" t="str">
        <x:v>W_SKIRTS_AVGPAID_1500_1600_ANNUAL2026</x:v>
      </x:c>
      <x:c r="V451" s="9" t="str">
        <x:v>W_SKIRTS_AVGPAID_1500_1600_ANNUAL2026.xlsx / 默认 / 第127行 / SHA256 deede8b56943df4f914be45dba170f12e69064023d6ef0e88dbde1764f6ba23e</x:v>
      </x:c>
    </x:row>
    <x:row r="452" ht="58" customHeight="1">
      <x:c r="A452" s="23" t="str">
        <x:v>44995643801</x:v>
      </x:c>
      <x:c r="B452" s="22"/>
      <x:c r="C452" s="22"/>
      <x:c r="D452" s="22"/>
      <x:c r="E452" s="9" t="str">
        <x:v>裙长未明确</x:v>
      </x:c>
      <x:c r="F452" s="9" t="str">
        <x:v>裙装</x:v>
      </x:c>
      <x:c r="G452" s="9" t="str">
        <x:v>半身裙</x:v>
      </x:c>
      <x:c r="H452" s="9" t="str">
        <x:v>女</x:v>
      </x:c>
      <x:c r="I452" s="9" t="str">
        <x:v>jg112日本代购三宅一生半身裙</x:v>
      </x:c>
      <x:c r="J452" s="9" t="str">
        <x:v>ISSEY MIYAKE/三宅一生</x:v>
      </x:c>
      <x:c r="K452" s="24" t="n">
        <x:v>1728.73</x:v>
      </x:c>
      <x:c r="L452" s="25" t="e">
        <x:f>HYPERLINK("https://item.taobao.com/item.htm?id=44995643801","打开商品")</x:f>
        <x:v>HYPERLINK is not implemented. linkLocation=https://item.taobao.com/item.htm?id=44995643801, friendlyName=打开商品</x:v>
      </x:c>
      <x:c r="M452" s="25" t="e">
        <x:f>HYPERLINK("https://data.zhiyitech.cn/itemDetail/overview/base?itemId=44995643801","打开知衣")</x:f>
        <x:v>HYPERLINK is not implemented. linkLocation=https://data.zhiyitech.cn/itemDetail/overview/base?itemId=44995643801, friendlyName=打开知衣</x:v>
      </x:c>
      <x:c r="N452" s="25" t="e">
        <x:f>HYPERLINK("https://img.alicdn.com/bao/uploaded/i1/375489345/O1CN013aRQMC2Iu3wOkK7eE_!!375489345.jpg","查看主图")</x:f>
        <x:v>HYPERLINK is not implemented. linkLocation=https://img.alicdn.com/bao/uploaded/i1/375489345/O1CN013aRQMC2Iu3wOkK7eE_!!375489345.jpg, friendlyName=查看主图</x:v>
      </x:c>
      <x:c r="O452" s="9" t="str">
        <x:v>标题及既有类目语义复核；jg112日本代购三宅一生半身裙；原类目及标题已能确认半身裙；展示使用已知大类，未知裙长下沉到结构字段，不强猜长短。</x:v>
      </x:c>
      <x:c r="P452" s="9" t="str">
        <x:v>普通男女装</x:v>
      </x:c>
      <x:c r="Q452" s="9" t="str">
        <x:v>W_SKIRTS_AVGPAID_1700_1800_ANNUAL2026.xlsx</x:v>
      </x:c>
      <x:c r="R452" s="9" t="str">
        <x:v>默认</x:v>
      </x:c>
      <x:c r="S452" s="9" t="n">
        <x:v>125</x:v>
      </x:c>
      <x:c r="T452" s="9" t="str">
        <x:v>c25ed77c53c7c5cfcf728778a0e9b297d8689503f62756a939cbd534ca9b587a</x:v>
      </x:c>
      <x:c r="U452" s="9" t="str">
        <x:v>W_SKIRTS_AVGPAID_1700_1800_ANNUAL2026</x:v>
      </x:c>
      <x:c r="V452" s="9" t="str">
        <x:v>W_SKIRTS_AVGPAID_1700_1800_ANNUAL2026.xlsx / 默认 / 第125行 / SHA256 c25ed77c53c7c5cfcf728778a0e9b297d8689503f62756a939cbd534ca9b587a</x:v>
      </x:c>
    </x:row>
    <x:row r="453" ht="58" customHeight="1">
      <x:c r="A453" s="23" t="str">
        <x:v>893417807632</x:v>
      </x:c>
      <x:c r="B453" s="22"/>
      <x:c r="C453" s="22"/>
      <x:c r="D453" s="22"/>
      <x:c r="E453" s="9" t="str">
        <x:v>裙长未明确</x:v>
      </x:c>
      <x:c r="F453" s="9" t="str">
        <x:v>裙装</x:v>
      </x:c>
      <x:c r="G453" s="9" t="str">
        <x:v>半身裙</x:v>
      </x:c>
      <x:c r="H453" s="9" t="str">
        <x:v>女</x:v>
      </x:c>
      <x:c r="I453" s="9" t="str">
        <x:v>【巨折】奥莱PP51JG134日本代购PP三宅一生25年3月新款半身裙3.3</x:v>
      </x:c>
      <x:c r="J453" s="9" t="str">
        <x:v>ISSEY MIYAKE/三宅一生</x:v>
      </x:c>
      <x:c r="K453" s="24" t="n">
        <x:v>1723.49</x:v>
      </x:c>
      <x:c r="L453" s="25" t="e">
        <x:f>HYPERLINK("https://item.taobao.com/item.htm?id=893417807632","打开商品")</x:f>
        <x:v>HYPERLINK is not implemented. linkLocation=https://item.taobao.com/item.htm?id=893417807632, friendlyName=打开商品</x:v>
      </x:c>
      <x:c r="M453" s="25" t="e">
        <x:f>HYPERLINK("https://data.zhiyitech.cn/itemDetail/overview/base?itemId=893417807632","打开知衣")</x:f>
        <x:v>HYPERLINK is not implemented. linkLocation=https://data.zhiyitech.cn/itemDetail/overview/base?itemId=893417807632, friendlyName=打开知衣</x:v>
      </x:c>
      <x:c r="N453" s="25" t="e">
        <x:f>HYPERLINK("https://img.alicdn.com/bao/uploaded/i4/690079215/O1CN01SHxtDW2HwWmeLCsCc_!!690079215.jpg","查看主图")</x:f>
        <x:v>HYPERLINK is not implemented. linkLocation=https://img.alicdn.com/bao/uploaded/i4/690079215/O1CN01SHxtDW2HwWmeLCsCc_!!690079215.jpg, friendlyName=查看主图</x:v>
      </x:c>
      <x:c r="O453" s="9" t="str">
        <x:v>标题及既有类目语义复核；【巨折】奥莱PP51JG134日本代购PP三宅一生25年3月新款半身裙3.3；原类目及标题已能确认半身裙；展示使用已知大类，未知裙长下沉到结构字段，不强猜长短。</x:v>
      </x:c>
      <x:c r="P453" s="9" t="str">
        <x:v>普通男女装</x:v>
      </x:c>
      <x:c r="Q453" s="9" t="str">
        <x:v>W_SKIRTS_AVGPAID_1700_1800_ANNUAL2026.xlsx</x:v>
      </x:c>
      <x:c r="R453" s="9" t="str">
        <x:v>默认</x:v>
      </x:c>
      <x:c r="S453" s="9" t="n">
        <x:v>401</x:v>
      </x:c>
      <x:c r="T453" s="9" t="str">
        <x:v>c25ed77c53c7c5cfcf728778a0e9b297d8689503f62756a939cbd534ca9b587a</x:v>
      </x:c>
      <x:c r="U453" s="9" t="str">
        <x:v>W_SKIRTS_AVGPAID_1700_1800_ANNUAL2026</x:v>
      </x:c>
      <x:c r="V453" s="9" t="str">
        <x:v>W_SKIRTS_AVGPAID_1700_1800_ANNUAL2026.xlsx / 默认 / 第401行 / SHA256 c25ed77c53c7c5cfcf728778a0e9b297d8689503f62756a939cbd534ca9b587a</x:v>
      </x:c>
    </x:row>
    <x:row r="454" ht="58" customHeight="1">
      <x:c r="A454" s="23" t="str">
        <x:v>1083999774964</x:v>
      </x:c>
      <x:c r="B454" s="22"/>
      <x:c r="C454" s="22"/>
      <x:c r="D454" s="22"/>
      <x:c r="E454" s="9" t="str">
        <x:v>裙长未明确</x:v>
      </x:c>
      <x:c r="F454" s="9" t="str">
        <x:v>裙装</x:v>
      </x:c>
      <x:c r="G454" s="9" t="str">
        <x:v>半身裙</x:v>
      </x:c>
      <x:c r="H454" s="9" t="str">
        <x:v>女</x:v>
      </x:c>
      <x:c r="I454" s="9" t="str">
        <x:v>JACQUES WEI26AW棕色复古蕾丝缎面拼接羊皮腰头半身裙</x:v>
      </x:c>
      <x:c r="J454" s="9" t="str">
        <x:v>JACQUES WEI</x:v>
      </x:c>
      <x:c r="K454" s="24" t="n">
        <x:v>1793.75</x:v>
      </x:c>
      <x:c r="L454" s="25" t="e">
        <x:f>HYPERLINK("https://item.taobao.com/item.htm?id=1083999774964","打开商品")</x:f>
        <x:v>HYPERLINK is not implemented. linkLocation=https://item.taobao.com/item.htm?id=1083999774964, friendlyName=打开商品</x:v>
      </x:c>
      <x:c r="M454" s="25" t="e">
        <x:f>HYPERLINK("https://data.zhiyitech.cn/itemDetail/overview/base?itemId=1083999774964","打开知衣")</x:f>
        <x:v>HYPERLINK is not implemented. linkLocation=https://data.zhiyitech.cn/itemDetail/overview/base?itemId=1083999774964, friendlyName=打开知衣</x:v>
      </x:c>
      <x:c r="N454" s="25" t="e">
        <x:f>HYPERLINK("https://img.alicdn.com/bao/uploaded/i2/2220522528095/O1CN01cfj24AhmdTD32pKq_!!4611686018427387231-0-item_pic.jpg","查看主图")</x:f>
        <x:v>HYPERLINK is not implemented. linkLocation=https://img.alicdn.com/bao/uploaded/i2/2220522528095/O1CN01cfj24AhmdTD32pKq_!!4611686018427387231-0-item_pic.jpg, friendlyName=查看主图</x:v>
      </x:c>
      <x:c r="O454" s="9" t="str">
        <x:v>标题及既有类目语义复核；JACQUES WEI26AW棕色复古蕾丝缎面拼接羊皮腰头半身裙；原类目及标题已能确认半身裙；展示使用已知大类，未知裙长下沉到结构字段，不强猜长短。</x:v>
      </x:c>
      <x:c r="P454" s="9" t="str">
        <x:v>普通男女装</x:v>
      </x:c>
      <x:c r="Q454" s="9" t="str">
        <x:v>W_SKIRTS_AVGPAID_1700_1800_ANNUAL2026.xlsx</x:v>
      </x:c>
      <x:c r="R454" s="9" t="str">
        <x:v>默认</x:v>
      </x:c>
      <x:c r="S454" s="9" t="n">
        <x:v>479</x:v>
      </x:c>
      <x:c r="T454" s="9" t="str">
        <x:v>c25ed77c53c7c5cfcf728778a0e9b297d8689503f62756a939cbd534ca9b587a</x:v>
      </x:c>
      <x:c r="U454" s="9" t="str">
        <x:v>W_SKIRTS_AVGPAID_1700_1800_ANNUAL2026</x:v>
      </x:c>
      <x:c r="V454" s="9" t="str">
        <x:v>W_SKIRTS_AVGPAID_1700_1800_ANNUAL2026.xlsx / 默认 / 第479行 / SHA256 c25ed77c53c7c5cfcf728778a0e9b297d8689503f62756a939cbd534ca9b587a</x:v>
      </x:c>
    </x:row>
    <x:row r="455" ht="58" customHeight="1">
      <x:c r="A455" s="23" t="str">
        <x:v>1085103861262</x:v>
      </x:c>
      <x:c r="B455" s="22"/>
      <x:c r="C455" s="22"/>
      <x:c r="D455" s="22"/>
      <x:c r="E455" s="9" t="str">
        <x:v>裙长未明确</x:v>
      </x:c>
      <x:c r="F455" s="9" t="str">
        <x:v>裙装</x:v>
      </x:c>
      <x:c r="G455" s="9" t="str">
        <x:v>半身裙</x:v>
      </x:c>
      <x:c r="H455" s="9" t="str">
        <x:v>女</x:v>
      </x:c>
      <x:c r="I455" s="9" t="str">
        <x:v>JACQUES WEI秋冬26新品百搭蕾丝醋酸缎面拼接半裙CHENSHOP集合店</x:v>
      </x:c>
      <x:c r="J455" s="9" t="str">
        <x:v>JACQUES WEI</x:v>
      </x:c>
      <x:c r="K455" s="24" t="n">
        <x:v>1713.95</x:v>
      </x:c>
      <x:c r="L455" s="25" t="e">
        <x:f>HYPERLINK("https://item.taobao.com/item.htm?id=1085103861262","打开商品")</x:f>
        <x:v>HYPERLINK is not implemented. linkLocation=https://item.taobao.com/item.htm?id=1085103861262, friendlyName=打开商品</x:v>
      </x:c>
      <x:c r="M455" s="25" t="e">
        <x:f>HYPERLINK("https://data.zhiyitech.cn/itemDetail/overview/base?itemId=1085103861262","打开知衣")</x:f>
        <x:v>HYPERLINK is not implemented. linkLocation=https://data.zhiyitech.cn/itemDetail/overview/base?itemId=1085103861262, friendlyName=打开知衣</x:v>
      </x:c>
      <x:c r="N455" s="25" t="e">
        <x:f>HYPERLINK("https://img.alicdn.com/bao/uploaded/i1/2147889891/O1CN01CcYl8OUTWVK2vH2e_!!2147889891.jpg","查看主图")</x:f>
        <x:v>HYPERLINK is not implemented. linkLocation=https://img.alicdn.com/bao/uploaded/i1/2147889891/O1CN01CcYl8OUTWVK2vH2e_!!2147889891.jpg, friendlyName=查看主图</x:v>
      </x:c>
      <x:c r="O455" s="9" t="str">
        <x:v>标题及既有类目语义复核；JACQUES WEI秋冬26新品百搭蕾丝醋酸缎面拼接半裙CHENSHOP集合店；原类目及标题已能确认半身裙；展示使用已知大类，未知裙长下沉到结构字段，不强猜长短。</x:v>
      </x:c>
      <x:c r="P455" s="9" t="str">
        <x:v>普通男女装</x:v>
      </x:c>
      <x:c r="Q455" s="9" t="str">
        <x:v>W_SKIRTS_AVGPAID_1700_1800_ANNUAL2026.xlsx</x:v>
      </x:c>
      <x:c r="R455" s="9" t="str">
        <x:v>默认</x:v>
      </x:c>
      <x:c r="S455" s="9" t="n">
        <x:v>472</x:v>
      </x:c>
      <x:c r="T455" s="9" t="str">
        <x:v>c25ed77c53c7c5cfcf728778a0e9b297d8689503f62756a939cbd534ca9b587a</x:v>
      </x:c>
      <x:c r="U455" s="9" t="str">
        <x:v>W_SKIRTS_AVGPAID_1700_1800_ANNUAL2026</x:v>
      </x:c>
      <x:c r="V455" s="9" t="str">
        <x:v>W_SKIRTS_AVGPAID_1700_1800_ANNUAL2026.xlsx / 默认 / 第472行 / SHA256 c25ed77c53c7c5cfcf728778a0e9b297d8689503f62756a939cbd534ca9b587a</x:v>
      </x:c>
    </x:row>
    <x:row r="456" ht="58" customHeight="1">
      <x:c r="A456" s="23" t="str">
        <x:v>949085623903</x:v>
      </x:c>
      <x:c r="B456" s="22"/>
      <x:c r="C456" s="22"/>
      <x:c r="D456" s="22"/>
      <x:c r="E456" s="9" t="str">
        <x:v>裙长未明确</x:v>
      </x:c>
      <x:c r="F456" s="9" t="str">
        <x:v>裙装</x:v>
      </x:c>
      <x:c r="G456" s="9" t="str">
        <x:v>半身裙</x:v>
      </x:c>
      <x:c r="H456" s="9" t="str">
        <x:v>女</x:v>
      </x:c>
      <x:c r="I456" s="9" t="str">
        <x:v>JASON WU 新款棉质贡缎百合蜻蜓清新印花半身裙伞裙</x:v>
      </x:c>
      <x:c r="J456" s="9" t="str">
        <x:v>JASON WU</x:v>
      </x:c>
      <x:c r="K456" s="24" t="n">
        <x:v>1322.11</x:v>
      </x:c>
      <x:c r="L456" s="25" t="e">
        <x:f>HYPERLINK("https://item.taobao.com/item.htm?id=949085623903","打开商品")</x:f>
        <x:v>HYPERLINK is not implemented. linkLocation=https://item.taobao.com/item.htm?id=949085623903, friendlyName=打开商品</x:v>
      </x:c>
      <x:c r="M456" s="25" t="e">
        <x:f>HYPERLINK("https://data.zhiyitech.cn/itemDetail/overview/base?itemId=949085623903","打开知衣")</x:f>
        <x:v>HYPERLINK is not implemented. linkLocation=https://data.zhiyitech.cn/itemDetail/overview/base?itemId=949085623903, friendlyName=打开知衣</x:v>
      </x:c>
      <x:c r="N456" s="25" t="e">
        <x:f>HYPERLINK("https://img.alicdn.com/bao/uploaded/i3/2214292310048/O1CN01VIbmIO1CE25C4pOMj_!!4611686018427381792-0-item_pic.jpg","查看主图")</x:f>
        <x:v>HYPERLINK is not implemented. linkLocation=https://img.alicdn.com/bao/uploaded/i3/2214292310048/O1CN01VIbmIO1CE25C4pOMj_!!4611686018427381792-0-item_pic.jpg, friendlyName=查看主图</x:v>
      </x:c>
      <x:c r="O456" s="9" t="str">
        <x:v>标题及既有类目语义复核；JASON WU 新款棉质贡缎百合蜻蜓清新印花半身裙伞裙；原类目及标题已能确认半身裙；展示使用已知大类，未知裙长下沉到结构字段，不强猜长短。</x:v>
      </x:c>
      <x:c r="P456" s="9" t="str">
        <x:v>普通男女装</x:v>
      </x:c>
      <x:c r="Q456" s="9" t="str">
        <x:v>W_SKIRTS_AVGPAID_1300_1400_ANNUAL2026.xlsx</x:v>
      </x:c>
      <x:c r="R456" s="9" t="str">
        <x:v>默认</x:v>
      </x:c>
      <x:c r="S456" s="9" t="n">
        <x:v>471</x:v>
      </x:c>
      <x:c r="T456" s="9" t="str">
        <x:v>bd4dae1e08e9eca7ddd0669235bf59107cdc418b9c2898fc16f36a7ab5748692</x:v>
      </x:c>
      <x:c r="U456" s="9" t="str">
        <x:v>W_SKIRTS_AVGPAID_1300_1400_ANNUAL2026</x:v>
      </x:c>
      <x:c r="V456" s="9" t="str">
        <x:v>W_SKIRTS_AVGPAID_1300_1400_ANNUAL2026.xlsx / 默认 / 第471行 / SHA256 bd4dae1e08e9eca7ddd0669235bf59107cdc418b9c2898fc16f36a7ab5748692</x:v>
      </x:c>
    </x:row>
    <x:row r="457" ht="58" customHeight="1">
      <x:c r="A457" s="23" t="str">
        <x:v>1038914312450</x:v>
      </x:c>
      <x:c r="B457" s="22"/>
      <x:c r="C457" s="22"/>
      <x:c r="D457" s="22"/>
      <x:c r="E457" s="9" t="str">
        <x:v>裙长未明确</x:v>
      </x:c>
      <x:c r="F457" s="9" t="str">
        <x:v>裙装</x:v>
      </x:c>
      <x:c r="G457" s="9" t="str">
        <x:v>半身裙</x:v>
      </x:c>
      <x:c r="H457" s="9" t="str">
        <x:v>女</x:v>
      </x:c>
      <x:c r="I457" s="9" t="str">
        <x:v>JELLOJELLO26SS金葱螺纹拼接弹力醋酸解构口袋缎面运动感半裙</x:v>
      </x:c>
      <x:c r="J457" s="9" t="str">
        <x:v>JELLOJELLO</x:v>
      </x:c>
      <x:c r="K457" s="24" t="n">
        <x:v>1569.24</x:v>
      </x:c>
      <x:c r="L457" s="25" t="e">
        <x:f>HYPERLINK("https://item.taobao.com/item.htm?id=1038914312450","打开商品")</x:f>
        <x:v>HYPERLINK is not implemented. linkLocation=https://item.taobao.com/item.htm?id=1038914312450, friendlyName=打开商品</x:v>
      </x:c>
      <x:c r="M457" s="25" t="e">
        <x:f>HYPERLINK("https://data.zhiyitech.cn/itemDetail/overview/base?itemId=1038914312450","打开知衣")</x:f>
        <x:v>HYPERLINK is not implemented. linkLocation=https://data.zhiyitech.cn/itemDetail/overview/base?itemId=1038914312450, friendlyName=打开知衣</x:v>
      </x:c>
      <x:c r="N457" s="25" t="e">
        <x:f>HYPERLINK("https://img.alicdn.com/bao/uploaded/i3/87522654/O1CN01CZTLWf1VTaI3Bdtmv_!!87522654.jpg","查看主图")</x:f>
        <x:v>HYPERLINK is not implemented. linkLocation=https://img.alicdn.com/bao/uploaded/i3/87522654/O1CN01CZTLWf1VTaI3Bdtmv_!!87522654.jpg, friendlyName=查看主图</x:v>
      </x:c>
      <x:c r="O457" s="9" t="str">
        <x:v>标题及既有类目语义复核；JELLOJELLO26SS金葱螺纹拼接弹力醋酸解构口袋缎面运动感半裙；原类目及标题已能确认半身裙；展示使用已知大类，未知裙长下沉到结构字段，不强猜长短。</x:v>
      </x:c>
      <x:c r="P457" s="9" t="str">
        <x:v>普通男女装</x:v>
      </x:c>
      <x:c r="Q457" s="9" t="str">
        <x:v>W_SKIRTS_AVGPAID_1500_1600_ANNUAL2026.xlsx</x:v>
      </x:c>
      <x:c r="R457" s="9" t="str">
        <x:v>默认</x:v>
      </x:c>
      <x:c r="S457" s="9" t="n">
        <x:v>499</x:v>
      </x:c>
      <x:c r="T457" s="9" t="str">
        <x:v>deede8b56943df4f914be45dba170f12e69064023d6ef0e88dbde1764f6ba23e</x:v>
      </x:c>
      <x:c r="U457" s="9" t="str">
        <x:v>W_SKIRTS_AVGPAID_1500_1600_ANNUAL2026</x:v>
      </x:c>
      <x:c r="V457" s="9" t="str">
        <x:v>W_SKIRTS_AVGPAID_1500_1600_ANNUAL2026.xlsx / 默认 / 第499行 / SHA256 deede8b56943df4f914be45dba170f12e69064023d6ef0e88dbde1764f6ba23e</x:v>
      </x:c>
    </x:row>
    <x:row r="458" ht="58" customHeight="1">
      <x:c r="A458" s="23" t="str">
        <x:v>983635232063</x:v>
      </x:c>
      <x:c r="B458" s="22"/>
      <x:c r="C458" s="22"/>
      <x:c r="D458" s="22"/>
      <x:c r="E458" s="9" t="str">
        <x:v>裙长未明确</x:v>
      </x:c>
      <x:c r="F458" s="9" t="str">
        <x:v>裙装</x:v>
      </x:c>
      <x:c r="G458" s="9" t="str">
        <x:v>半身裙</x:v>
      </x:c>
      <x:c r="H458" s="9" t="str">
        <x:v>女</x:v>
      </x:c>
      <x:c r="I458" s="9" t="str">
        <x:v>JELLOJELLO秋冬重工做旧水洗低腰牛仔半裙/蕾丝系带荷叶边衬衫</x:v>
      </x:c>
      <x:c r="J458" s="9" t="str">
        <x:v>JELLOJELLO</x:v>
      </x:c>
      <x:c r="K458" s="24" t="n">
        <x:v>1504.29</x:v>
      </x:c>
      <x:c r="L458" s="25" t="e">
        <x:f>HYPERLINK("https://item.taobao.com/item.htm?id=983635232063","打开商品")</x:f>
        <x:v>HYPERLINK is not implemented. linkLocation=https://item.taobao.com/item.htm?id=983635232063, friendlyName=打开商品</x:v>
      </x:c>
      <x:c r="M458" s="25" t="e">
        <x:f>HYPERLINK("https://data.zhiyitech.cn/itemDetail/overview/base?itemId=983635232063","打开知衣")</x:f>
        <x:v>HYPERLINK is not implemented. linkLocation=https://data.zhiyitech.cn/itemDetail/overview/base?itemId=983635232063, friendlyName=打开知衣</x:v>
      </x:c>
      <x:c r="N458" s="25" t="e">
        <x:f>HYPERLINK("https://img.alicdn.com/bao/uploaded/i4/87522654/O1CN01rSCM5N1VTaFkQzbqd_!!87522654.jpg","查看主图")</x:f>
        <x:v>HYPERLINK is not implemented. linkLocation=https://img.alicdn.com/bao/uploaded/i4/87522654/O1CN01rSCM5N1VTaFkQzbqd_!!87522654.jpg, friendlyName=查看主图</x:v>
      </x:c>
      <x:c r="O458" s="9" t="str">
        <x:v>标题及既有类目语义复核；JELLOJELLO秋冬重工做旧水洗低腰牛仔半裙/蕾丝系带荷叶边衬衫；原类目及标题已能确认半身裙；展示使用已知大类，未知裙长下沉到结构字段，不强猜长短。</x:v>
      </x:c>
      <x:c r="P458" s="9" t="str">
        <x:v>普通男女装</x:v>
      </x:c>
      <x:c r="Q458" s="9" t="str">
        <x:v>W_SKIRTS_AVGPAID_1500_1600_ANNUAL2026.xlsx</x:v>
      </x:c>
      <x:c r="R458" s="9" t="str">
        <x:v>默认</x:v>
      </x:c>
      <x:c r="S458" s="9" t="n">
        <x:v>270</x:v>
      </x:c>
      <x:c r="T458" s="9" t="str">
        <x:v>deede8b56943df4f914be45dba170f12e69064023d6ef0e88dbde1764f6ba23e</x:v>
      </x:c>
      <x:c r="U458" s="9" t="str">
        <x:v>W_SKIRTS_AVGPAID_1500_1600_ANNUAL2026</x:v>
      </x:c>
      <x:c r="V458" s="9" t="str">
        <x:v>W_SKIRTS_AVGPAID_1500_1600_ANNUAL2026.xlsx / 默认 / 第270行 / SHA256 deede8b56943df4f914be45dba170f12e69064023d6ef0e88dbde1764f6ba23e</x:v>
      </x:c>
    </x:row>
    <x:row r="459" ht="58" customHeight="1">
      <x:c r="A459" s="23" t="str">
        <x:v>1011213663440</x:v>
      </x:c>
      <x:c r="B459" s="22"/>
      <x:c r="C459" s="22"/>
      <x:c r="D459" s="22"/>
      <x:c r="E459" s="9" t="str">
        <x:v>裙长未明确</x:v>
      </x:c>
      <x:c r="F459" s="9" t="str">
        <x:v>裙装</x:v>
      </x:c>
      <x:c r="G459" s="9" t="str">
        <x:v>半身裙</x:v>
      </x:c>
      <x:c r="H459" s="9" t="str">
        <x:v>女</x:v>
      </x:c>
      <x:c r="I459" s="9" t="str">
        <x:v>【品质之选】JNBY/江南布衣春季半身裙不规则A字裙时尚5Q3D13660</x:v>
      </x:c>
      <x:c r="J459" s="9" t="str">
        <x:v>JNBY/江南布衣</x:v>
      </x:c>
      <x:c r="K459" s="24" t="n">
        <x:v>1518.65</x:v>
      </x:c>
      <x:c r="L459" s="25" t="e">
        <x:f>HYPERLINK("https://item.taobao.com/item.htm?id=1011213663440","打开商品")</x:f>
        <x:v>HYPERLINK is not implemented. linkLocation=https://item.taobao.com/item.htm?id=1011213663440, friendlyName=打开商品</x:v>
      </x:c>
      <x:c r="M459" s="25" t="e">
        <x:f>HYPERLINK("https://data.zhiyitech.cn/itemDetail/overview/base?itemId=1011213663440","打开知衣")</x:f>
        <x:v>HYPERLINK is not implemented. linkLocation=https://data.zhiyitech.cn/itemDetail/overview/base?itemId=1011213663440, friendlyName=打开知衣</x:v>
      </x:c>
      <x:c r="N459" s="25" t="e">
        <x:f>HYPERLINK("https://img.alicdn.com/bao/uploaded/i3/412129187/O1CN01g18az8kTR5G1chua_!!412129187.jpg","查看主图")</x:f>
        <x:v>HYPERLINK is not implemented. linkLocation=https://img.alicdn.com/bao/uploaded/i3/412129187/O1CN01g18az8kTR5G1chua_!!412129187.jpg, friendlyName=查看主图</x:v>
      </x:c>
      <x:c r="O459" s="9" t="str">
        <x:v>标题及既有类目语义复核；【品质之选】JNBY/江南布衣春季半身裙不规则A字裙时尚5Q3D13660；原类目及标题已能确认半身裙；展示使用已知大类，未知裙长下沉到结构字段，不强猜长短。</x:v>
      </x:c>
      <x:c r="P459" s="9" t="str">
        <x:v>普通男女装</x:v>
      </x:c>
      <x:c r="Q459" s="9" t="str">
        <x:v>W_SKIRTS_AVGPAID_1500_1600_ANNUAL2026.xlsx</x:v>
      </x:c>
      <x:c r="R459" s="9" t="str">
        <x:v>默认</x:v>
      </x:c>
      <x:c r="S459" s="9" t="n">
        <x:v>369</x:v>
      </x:c>
      <x:c r="T459" s="9" t="str">
        <x:v>deede8b56943df4f914be45dba170f12e69064023d6ef0e88dbde1764f6ba23e</x:v>
      </x:c>
      <x:c r="U459" s="9" t="str">
        <x:v>W_SKIRTS_AVGPAID_1500_1600_ANNUAL2026</x:v>
      </x:c>
      <x:c r="V459" s="9" t="str">
        <x:v>W_SKIRTS_AVGPAID_1500_1600_ANNUAL2026.xlsx / 默认 / 第369行 / SHA256 deede8b56943df4f914be45dba170f12e69064023d6ef0e88dbde1764f6ba23e</x:v>
      </x:c>
    </x:row>
    <x:row r="460" ht="58" customHeight="1">
      <x:c r="A460" s="23" t="str">
        <x:v>1012703469379</x:v>
      </x:c>
      <x:c r="B460" s="22"/>
      <x:c r="C460" s="22"/>
      <x:c r="D460" s="22"/>
      <x:c r="E460" s="9" t="str">
        <x:v>裙长未明确</x:v>
      </x:c>
      <x:c r="F460" s="9" t="str">
        <x:v>裙装</x:v>
      </x:c>
      <x:c r="G460" s="9" t="str">
        <x:v>半身裙</x:v>
      </x:c>
      <x:c r="H460" s="9" t="str">
        <x:v>女</x:v>
      </x:c>
      <x:c r="I460" s="9" t="str">
        <x:v>JNBY/江南布衣夏季半身裙女A型宽松百褶裙休闲简约通勤5Q4D14650</x:v>
      </x:c>
      <x:c r="J460" s="9" t="str">
        <x:v>JNBY/江南布衣</x:v>
      </x:c>
      <x:c r="K460" s="24" t="n">
        <x:v>1305.72</x:v>
      </x:c>
      <x:c r="L460" s="25" t="e">
        <x:f>HYPERLINK("https://item.taobao.com/item.htm?id=1012703469379","打开商品")</x:f>
        <x:v>HYPERLINK is not implemented. linkLocation=https://item.taobao.com/item.htm?id=1012703469379, friendlyName=打开商品</x:v>
      </x:c>
      <x:c r="M460" s="25" t="e">
        <x:f>HYPERLINK("https://data.zhiyitech.cn/itemDetail/overview/base?itemId=1012703469379","打开知衣")</x:f>
        <x:v>HYPERLINK is not implemented. linkLocation=https://data.zhiyitech.cn/itemDetail/overview/base?itemId=1012703469379, friendlyName=打开知衣</x:v>
      </x:c>
      <x:c r="N460" s="25" t="e">
        <x:f>HYPERLINK("https://img.alicdn.com/bao/uploaded/i2/412129187/O1CN01xrPuHpplRmJ1chua_!!412129187.jpg","查看主图")</x:f>
        <x:v>HYPERLINK is not implemented. linkLocation=https://img.alicdn.com/bao/uploaded/i2/412129187/O1CN01xrPuHpplRmJ1chua_!!412129187.jpg, friendlyName=查看主图</x:v>
      </x:c>
      <x:c r="O460" s="9" t="str">
        <x:v>标题及既有类目语义复核；JNBY/江南布衣夏季半身裙女A型宽松百褶裙休闲简约通勤5Q4D14650；原类目及标题已能确认半身裙；展示使用已知大类，未知裙长下沉到结构字段，不强猜长短。</x:v>
      </x:c>
      <x:c r="P460" s="9" t="str">
        <x:v>普通男女装</x:v>
      </x:c>
      <x:c r="Q460" s="9" t="str">
        <x:v>W_SKIRTS_AVGPAID_1300_1400_ANNUAL2026.xlsx</x:v>
      </x:c>
      <x:c r="R460" s="9" t="str">
        <x:v>默认</x:v>
      </x:c>
      <x:c r="S460" s="9" t="n">
        <x:v>10</x:v>
      </x:c>
      <x:c r="T460" s="9" t="str">
        <x:v>bd4dae1e08e9eca7ddd0669235bf59107cdc418b9c2898fc16f36a7ab5748692</x:v>
      </x:c>
      <x:c r="U460" s="9" t="str">
        <x:v>W_SKIRTS_AVGPAID_1300_1400_ANNUAL2026</x:v>
      </x:c>
      <x:c r="V460" s="9" t="str">
        <x:v>W_SKIRTS_AVGPAID_1300_1400_ANNUAL2026.xlsx / 默认 / 第10行 / SHA256 bd4dae1e08e9eca7ddd0669235bf59107cdc418b9c2898fc16f36a7ab5748692</x:v>
      </x:c>
    </x:row>
    <x:row r="461" ht="58" customHeight="1">
      <x:c r="A461" s="23" t="str">
        <x:v>1027674032828</x:v>
      </x:c>
      <x:c r="B461" s="22"/>
      <x:c r="C461" s="22"/>
      <x:c r="D461" s="22"/>
      <x:c r="E461" s="9" t="str">
        <x:v>裙长未明确</x:v>
      </x:c>
      <x:c r="F461" s="9" t="str">
        <x:v>裙装</x:v>
      </x:c>
      <x:c r="G461" s="9" t="str">
        <x:v>半身裙</x:v>
      </x:c>
      <x:c r="H461" s="9" t="str">
        <x:v>女</x:v>
      </x:c>
      <x:c r="I461" s="9" t="str">
        <x:v>【商场同款】JNBY/江南布衣26夏新品半身裙波点提花腰裙5Q5D11660</x:v>
      </x:c>
      <x:c r="J461" s="9" t="str">
        <x:v>JNBY/江南布衣</x:v>
      </x:c>
      <x:c r="K461" s="24" t="n">
        <x:v>1367.29</x:v>
      </x:c>
      <x:c r="L461" s="25" t="e">
        <x:f>HYPERLINK("https://item.taobao.com/item.htm?id=1027674032828","打开商品")</x:f>
        <x:v>HYPERLINK is not implemented. linkLocation=https://item.taobao.com/item.htm?id=1027674032828, friendlyName=打开商品</x:v>
      </x:c>
      <x:c r="M461" s="25" t="e">
        <x:f>HYPERLINK("https://data.zhiyitech.cn/itemDetail/overview/base?itemId=1027674032828","打开知衣")</x:f>
        <x:v>HYPERLINK is not implemented. linkLocation=https://data.zhiyitech.cn/itemDetail/overview/base?itemId=1027674032828, friendlyName=打开知衣</x:v>
      </x:c>
      <x:c r="N461" s="25" t="e">
        <x:f>HYPERLINK("https://img.alicdn.com/bao/uploaded/i4/412129187/O1CN01gswxW83U6BK1chua_!!412129187.jpg","查看主图")</x:f>
        <x:v>HYPERLINK is not implemented. linkLocation=https://img.alicdn.com/bao/uploaded/i4/412129187/O1CN01gswxW83U6BK1chua_!!412129187.jpg, friendlyName=查看主图</x:v>
      </x:c>
      <x:c r="O461" s="9" t="str">
        <x:v>标题及既有类目语义复核；【商场同款】JNBY/江南布衣26夏新品半身裙波点提花腰裙5Q5D11660；原类目及标题已能确认半身裙；展示使用已知大类，未知裙长下沉到结构字段，不强猜长短。</x:v>
      </x:c>
      <x:c r="P461" s="9" t="str">
        <x:v>普通男女装</x:v>
      </x:c>
      <x:c r="Q461" s="9" t="str">
        <x:v>W_SKIRTS_AVGPAID_1300_1400_ANNUAL2026.xlsx</x:v>
      </x:c>
      <x:c r="R461" s="9" t="str">
        <x:v>默认</x:v>
      </x:c>
      <x:c r="S461" s="9" t="n">
        <x:v>86</x:v>
      </x:c>
      <x:c r="T461" s="9" t="str">
        <x:v>bd4dae1e08e9eca7ddd0669235bf59107cdc418b9c2898fc16f36a7ab5748692</x:v>
      </x:c>
      <x:c r="U461" s="9" t="str">
        <x:v>W_SKIRTS_AVGPAID_1300_1400_ANNUAL2026</x:v>
      </x:c>
      <x:c r="V461" s="9" t="str">
        <x:v>W_SKIRTS_AVGPAID_1300_1400_ANNUAL2026.xlsx / 默认 / 第86行 / SHA256 bd4dae1e08e9eca7ddd0669235bf59107cdc418b9c2898fc16f36a7ab5748692</x:v>
      </x:c>
    </x:row>
    <x:row r="462" ht="58" customHeight="1">
      <x:c r="A462" s="23" t="str">
        <x:v>1027674744039</x:v>
      </x:c>
      <x:c r="B462" s="22"/>
      <x:c r="C462" s="22"/>
      <x:c r="D462" s="22"/>
      <x:c r="E462" s="9" t="str">
        <x:v>裙长未明确</x:v>
      </x:c>
      <x:c r="F462" s="9" t="str">
        <x:v>裙装</x:v>
      </x:c>
      <x:c r="G462" s="9" t="str">
        <x:v>半身裙</x:v>
      </x:c>
      <x:c r="H462" s="9" t="str">
        <x:v>女</x:v>
      </x:c>
      <x:c r="I462" s="9" t="str">
        <x:v>【商场同款】JNBY/江南布衣26夏新品半身裙A型不规则5Q5D13310</x:v>
      </x:c>
      <x:c r="J462" s="9" t="str">
        <x:v>JNBY/江南布衣</x:v>
      </x:c>
      <x:c r="K462" s="24" t="n">
        <x:v>1371.14</x:v>
      </x:c>
      <x:c r="L462" s="25" t="e">
        <x:f>HYPERLINK("https://item.taobao.com/item.htm?id=1027674744039","打开商品")</x:f>
        <x:v>HYPERLINK is not implemented. linkLocation=https://item.taobao.com/item.htm?id=1027674744039, friendlyName=打开商品</x:v>
      </x:c>
      <x:c r="M462" s="25" t="e">
        <x:f>HYPERLINK("https://data.zhiyitech.cn/itemDetail/overview/base?itemId=1027674744039","打开知衣")</x:f>
        <x:v>HYPERLINK is not implemented. linkLocation=https://data.zhiyitech.cn/itemDetail/overview/base?itemId=1027674744039, friendlyName=打开知衣</x:v>
      </x:c>
      <x:c r="N462" s="25" t="e">
        <x:f>HYPERLINK("https://img.alicdn.com/bao/uploaded/i3/412129187/O1CN01rytvGXNHTWH1chua_!!412129187.jpg","查看主图")</x:f>
        <x:v>HYPERLINK is not implemented. linkLocation=https://img.alicdn.com/bao/uploaded/i3/412129187/O1CN01rytvGXNHTWH1chua_!!412129187.jpg, friendlyName=查看主图</x:v>
      </x:c>
      <x:c r="O462" s="9" t="str">
        <x:v>标题及既有类目语义复核；【商场同款】JNBY/江南布衣26夏新品半身裙A型不规则5Q5D13310；原类目及标题已能确认半身裙；展示使用已知大类，未知裙长下沉到结构字段，不强猜长短。</x:v>
      </x:c>
      <x:c r="P462" s="9" t="str">
        <x:v>普通男女装</x:v>
      </x:c>
      <x:c r="Q462" s="9" t="str">
        <x:v>W_SKIRTS_AVGPAID_1300_1400_ANNUAL2026.xlsx</x:v>
      </x:c>
      <x:c r="R462" s="9" t="str">
        <x:v>默认</x:v>
      </x:c>
      <x:c r="S462" s="9" t="n">
        <x:v>490</x:v>
      </x:c>
      <x:c r="T462" s="9" t="str">
        <x:v>bd4dae1e08e9eca7ddd0669235bf59107cdc418b9c2898fc16f36a7ab5748692</x:v>
      </x:c>
      <x:c r="U462" s="9" t="str">
        <x:v>W_SKIRTS_AVGPAID_1300_1400_ANNUAL2026</x:v>
      </x:c>
      <x:c r="V462" s="9" t="str">
        <x:v>W_SKIRTS_AVGPAID_1300_1400_ANNUAL2026.xlsx / 默认 / 第490行 / SHA256 bd4dae1e08e9eca7ddd0669235bf59107cdc418b9c2898fc16f36a7ab5748692</x:v>
      </x:c>
    </x:row>
    <x:row r="463" ht="58" customHeight="1">
      <x:c r="A463" s="23" t="str">
        <x:v>1036414327585</x:v>
      </x:c>
      <x:c r="B463" s="22"/>
      <x:c r="C463" s="22"/>
      <x:c r="D463" s="22"/>
      <x:c r="E463" s="9" t="str">
        <x:v>裙长未明确</x:v>
      </x:c>
      <x:c r="F463" s="9" t="str">
        <x:v>裙装</x:v>
      </x:c>
      <x:c r="G463" s="9" t="str">
        <x:v>半身裙</x:v>
      </x:c>
      <x:c r="H463" s="9" t="str">
        <x:v>女</x:v>
      </x:c>
      <x:c r="I463" s="9" t="str">
        <x:v>【商场同款】JNBY/江南布衣26夏新品半身裙女休闲通勤5Q6D14300</x:v>
      </x:c>
      <x:c r="J463" s="9" t="str">
        <x:v>JNBY/江南布衣</x:v>
      </x:c>
      <x:c r="K463" s="24" t="n">
        <x:v>1353.59</x:v>
      </x:c>
      <x:c r="L463" s="25" t="e">
        <x:f>HYPERLINK("https://item.taobao.com/item.htm?id=1036414327585","打开商品")</x:f>
        <x:v>HYPERLINK is not implemented. linkLocation=https://item.taobao.com/item.htm?id=1036414327585, friendlyName=打开商品</x:v>
      </x:c>
      <x:c r="M463" s="25" t="e">
        <x:f>HYPERLINK("https://data.zhiyitech.cn/itemDetail/overview/base?itemId=1036414327585","打开知衣")</x:f>
        <x:v>HYPERLINK is not implemented. linkLocation=https://data.zhiyitech.cn/itemDetail/overview/base?itemId=1036414327585, friendlyName=打开知衣</x:v>
      </x:c>
      <x:c r="N463" s="25" t="e">
        <x:f>HYPERLINK("https://img.alicdn.com/bao/uploaded/i4/412129187/O1CN01E9ExLsjBcnE1chua_!!412129187.jpg","查看主图")</x:f>
        <x:v>HYPERLINK is not implemented. linkLocation=https://img.alicdn.com/bao/uploaded/i4/412129187/O1CN01E9ExLsjBcnE1chua_!!412129187.jpg, friendlyName=查看主图</x:v>
      </x:c>
      <x:c r="O463" s="9" t="str">
        <x:v>标题及既有类目语义复核；【商场同款】JNBY/江南布衣26夏新品半身裙女休闲通勤5Q6D14300；原类目及标题已能确认半身裙；展示使用已知大类，未知裙长下沉到结构字段，不强猜长短。</x:v>
      </x:c>
      <x:c r="P463" s="9" t="str">
        <x:v>普通男女装</x:v>
      </x:c>
      <x:c r="Q463" s="9" t="str">
        <x:v>W_SKIRTS_AVGPAID_1300_1400_ANNUAL2026.xlsx</x:v>
      </x:c>
      <x:c r="R463" s="9" t="str">
        <x:v>默认</x:v>
      </x:c>
      <x:c r="S463" s="9" t="n">
        <x:v>137</x:v>
      </x:c>
      <x:c r="T463" s="9" t="str">
        <x:v>bd4dae1e08e9eca7ddd0669235bf59107cdc418b9c2898fc16f36a7ab5748692</x:v>
      </x:c>
      <x:c r="U463" s="9" t="str">
        <x:v>W_SKIRTS_AVGPAID_1300_1400_ANNUAL2026</x:v>
      </x:c>
      <x:c r="V463" s="9" t="str">
        <x:v>W_SKIRTS_AVGPAID_1300_1400_ANNUAL2026.xlsx / 默认 / 第137行 / SHA256 bd4dae1e08e9eca7ddd0669235bf59107cdc418b9c2898fc16f36a7ab5748692</x:v>
      </x:c>
    </x:row>
    <x:row r="464" ht="58" customHeight="1">
      <x:c r="A464" s="23" t="str">
        <x:v>1076759109012</x:v>
      </x:c>
      <x:c r="B464" s="22"/>
      <x:c r="C464" s="22"/>
      <x:c r="D464" s="22"/>
      <x:c r="E464" s="9" t="str">
        <x:v>裙长未明确</x:v>
      </x:c>
      <x:c r="F464" s="9" t="str">
        <x:v>裙装</x:v>
      </x:c>
      <x:c r="G464" s="9" t="str">
        <x:v>半身裙</x:v>
      </x:c>
      <x:c r="H464" s="9" t="str">
        <x:v>女</x:v>
      </x:c>
      <x:c r="I464" s="9" t="str">
        <x:v>【商场同款】JNBY/江南布衣26冬新品半身裙侧面扭结开衩5Q0D13150</x:v>
      </x:c>
      <x:c r="J464" s="9" t="str">
        <x:v>JNBY/江南布衣</x:v>
      </x:c>
      <x:c r="K464" s="24" t="n">
        <x:v>1398.18</x:v>
      </x:c>
      <x:c r="L464" s="25" t="e">
        <x:f>HYPERLINK("https://item.taobao.com/item.htm?id=1076759109012","打开商品")</x:f>
        <x:v>HYPERLINK is not implemented. linkLocation=https://item.taobao.com/item.htm?id=1076759109012, friendlyName=打开商品</x:v>
      </x:c>
      <x:c r="M464" s="25" t="e">
        <x:f>HYPERLINK("https://data.zhiyitech.cn/itemDetail/overview/base?itemId=1076759109012","打开知衣")</x:f>
        <x:v>HYPERLINK is not implemented. linkLocation=https://data.zhiyitech.cn/itemDetail/overview/base?itemId=1076759109012, friendlyName=打开知衣</x:v>
      </x:c>
      <x:c r="N464" s="25" t="e">
        <x:f>HYPERLINK("https://img.alicdn.com/bao/uploaded/i1/412129187/O1CN01ElVpUzR36qF1chua_!!412129187.jpg","查看主图")</x:f>
        <x:v>HYPERLINK is not implemented. linkLocation=https://img.alicdn.com/bao/uploaded/i1/412129187/O1CN01ElVpUzR36qF1chua_!!412129187.jpg, friendlyName=查看主图</x:v>
      </x:c>
      <x:c r="O464" s="9" t="str">
        <x:v>标题及既有类目语义复核；【商场同款】JNBY/江南布衣26冬新品半身裙侧面扭结开衩5Q0D13150；原类目及标题已能确认半身裙；展示使用已知大类，未知裙长下沉到结构字段，不强猜长短。</x:v>
      </x:c>
      <x:c r="P464" s="9" t="str">
        <x:v>普通男女装</x:v>
      </x:c>
      <x:c r="Q464" s="9" t="str">
        <x:v>W_SKIRTS_AVGPAID_1300_1400_ANNUAL2026.xlsx</x:v>
      </x:c>
      <x:c r="R464" s="9" t="str">
        <x:v>默认</x:v>
      </x:c>
      <x:c r="S464" s="9" t="n">
        <x:v>339</x:v>
      </x:c>
      <x:c r="T464" s="9" t="str">
        <x:v>bd4dae1e08e9eca7ddd0669235bf59107cdc418b9c2898fc16f36a7ab5748692</x:v>
      </x:c>
      <x:c r="U464" s="9" t="str">
        <x:v>W_SKIRTS_AVGPAID_1300_1400_ANNUAL2026</x:v>
      </x:c>
      <x:c r="V464" s="9" t="str">
        <x:v>W_SKIRTS_AVGPAID_1300_1400_ANNUAL2026.xlsx / 默认 / 第339行 / SHA256 bd4dae1e08e9eca7ddd0669235bf59107cdc418b9c2898fc16f36a7ab5748692</x:v>
      </x:c>
    </x:row>
    <x:row r="465" ht="58" customHeight="1">
      <x:c r="A465" s="23" t="str">
        <x:v>970697792813</x:v>
      </x:c>
      <x:c r="B465" s="22"/>
      <x:c r="C465" s="22"/>
      <x:c r="D465" s="22"/>
      <x:c r="E465" s="9" t="str">
        <x:v>裙长未明确</x:v>
      </x:c>
      <x:c r="F465" s="9" t="str">
        <x:v>裙装</x:v>
      </x:c>
      <x:c r="G465" s="9" t="str">
        <x:v>半身裙</x:v>
      </x:c>
      <x:c r="H465" s="9" t="str">
        <x:v>女</x:v>
      </x:c>
      <x:c r="I465" s="9" t="str">
        <x:v>【重工蝴蝶结】JNBY/江南布衣半身裙女A型休闲设计感5P0D13920</x:v>
      </x:c>
      <x:c r="J465" s="9" t="str">
        <x:v>JNBY/江南布衣</x:v>
      </x:c>
      <x:c r="K465" s="24" t="n">
        <x:v>1381.44</x:v>
      </x:c>
      <x:c r="L465" s="25" t="e">
        <x:f>HYPERLINK("https://item.taobao.com/item.htm?id=970697792813","打开商品")</x:f>
        <x:v>HYPERLINK is not implemented. linkLocation=https://item.taobao.com/item.htm?id=970697792813, friendlyName=打开商品</x:v>
      </x:c>
      <x:c r="M465" s="25" t="e">
        <x:f>HYPERLINK("https://data.zhiyitech.cn/itemDetail/overview/base?itemId=970697792813","打开知衣")</x:f>
        <x:v>HYPERLINK is not implemented. linkLocation=https://data.zhiyitech.cn/itemDetail/overview/base?itemId=970697792813, friendlyName=打开知衣</x:v>
      </x:c>
      <x:c r="N465" s="25" t="e">
        <x:f>HYPERLINK("https://img.alicdn.com/bao/uploaded/i2/412129187/O1CN01I9N6dNAWcjJ1chua_!!412129187.jpg","查看主图")</x:f>
        <x:v>HYPERLINK is not implemented. linkLocation=https://img.alicdn.com/bao/uploaded/i2/412129187/O1CN01I9N6dNAWcjJ1chua_!!412129187.jpg, friendlyName=查看主图</x:v>
      </x:c>
      <x:c r="O465" s="9" t="str">
        <x:v>标题及既有类目语义复核；【重工蝴蝶结】JNBY/江南布衣半身裙女A型休闲设计感5P0D13920；原类目及标题已能确认半身裙；展示使用已知大类，未知裙长下沉到结构字段，不强猜长短。</x:v>
      </x:c>
      <x:c r="P465" s="9" t="str">
        <x:v>普通男女装</x:v>
      </x:c>
      <x:c r="Q465" s="9" t="str">
        <x:v>W_SKIRTS_AVGPAID_1300_1400_ANNUAL2026.xlsx</x:v>
      </x:c>
      <x:c r="R465" s="9" t="str">
        <x:v>默认</x:v>
      </x:c>
      <x:c r="S465" s="9" t="n">
        <x:v>445</x:v>
      </x:c>
      <x:c r="T465" s="9" t="str">
        <x:v>bd4dae1e08e9eca7ddd0669235bf59107cdc418b9c2898fc16f36a7ab5748692</x:v>
      </x:c>
      <x:c r="U465" s="9" t="str">
        <x:v>W_SKIRTS_AVGPAID_1300_1400_ANNUAL2026</x:v>
      </x:c>
      <x:c r="V465" s="9" t="str">
        <x:v>W_SKIRTS_AVGPAID_1300_1400_ANNUAL2026.xlsx / 默认 / 第445行 / SHA256 bd4dae1e08e9eca7ddd0669235bf59107cdc418b9c2898fc16f36a7ab5748692</x:v>
      </x:c>
    </x:row>
    <x:row r="466" ht="58" customHeight="1">
      <x:c r="A466" s="23" t="str">
        <x:v>649949327196</x:v>
      </x:c>
      <x:c r="B466" s="22"/>
      <x:c r="C466" s="22"/>
      <x:c r="D466" s="22"/>
      <x:c r="E466" s="9" t="str">
        <x:v>裙长未明确</x:v>
      </x:c>
      <x:c r="F466" s="9" t="str">
        <x:v>裙装</x:v>
      </x:c>
      <x:c r="G466" s="9" t="str">
        <x:v>半身裙</x:v>
      </x:c>
      <x:c r="H466" s="9" t="str">
        <x:v>女</x:v>
      </x:c>
      <x:c r="I466" s="9" t="str">
        <x:v>专柜正品19春夏L1202802-B卓雅桑蚕丝裙子3680元</x:v>
      </x:c>
      <x:c r="J466" s="9" t="str">
        <x:v>JORYA</x:v>
      </x:c>
      <x:c r="K466" s="24" t="n">
        <x:v>1781.93</x:v>
      </x:c>
      <x:c r="L466" s="25" t="e">
        <x:f>HYPERLINK("https://item.taobao.com/item.htm?id=649949327196","打开商品")</x:f>
        <x:v>HYPERLINK is not implemented. linkLocation=https://item.taobao.com/item.htm?id=649949327196, friendlyName=打开商品</x:v>
      </x:c>
      <x:c r="M466" s="25" t="e">
        <x:f>HYPERLINK("https://data.zhiyitech.cn/itemDetail/overview/base?itemId=649949327196","打开知衣")</x:f>
        <x:v>HYPERLINK is not implemented. linkLocation=https://data.zhiyitech.cn/itemDetail/overview/base?itemId=649949327196, friendlyName=打开知衣</x:v>
      </x:c>
      <x:c r="N466" s="25" t="e">
        <x:f>HYPERLINK("https://img.alicdn.com/bao/uploaded/i3/1024570819/O1CN01BIUGmvfYPrK2GUG0_!!4611686018427385283-0-item_pic.jpg","查看主图")</x:f>
        <x:v>HYPERLINK is not implemented. linkLocation=https://img.alicdn.com/bao/uploaded/i3/1024570819/O1CN01BIUGmvfYPrK2GUG0_!!4611686018427385283-0-item_pic.jpg, friendlyName=查看主图</x:v>
      </x:c>
      <x:c r="O466" s="9" t="str">
        <x:v>标题及既有类目语义复核；专柜正品19春夏L1202802-B卓雅桑蚕丝裙子3680元；原类目及标题已能确认半身裙；展示使用已知大类，未知裙长下沉到结构字段，不强猜长短。</x:v>
      </x:c>
      <x:c r="P466" s="9" t="str">
        <x:v>普通男女装</x:v>
      </x:c>
      <x:c r="Q466" s="9" t="str">
        <x:v>W_SKIRTS_AVGPAID_1700_1800_ANNUAL2026.xlsx</x:v>
      </x:c>
      <x:c r="R466" s="9" t="str">
        <x:v>默认</x:v>
      </x:c>
      <x:c r="S466" s="9" t="n">
        <x:v>318</x:v>
      </x:c>
      <x:c r="T466" s="9" t="str">
        <x:v>c25ed77c53c7c5cfcf728778a0e9b297d8689503f62756a939cbd534ca9b587a</x:v>
      </x:c>
      <x:c r="U466" s="9" t="str">
        <x:v>W_SKIRTS_AVGPAID_1700_1800_ANNUAL2026</x:v>
      </x:c>
      <x:c r="V466" s="9" t="str">
        <x:v>W_SKIRTS_AVGPAID_1700_1800_ANNUAL2026.xlsx / 默认 / 第318行 / SHA256 c25ed77c53c7c5cfcf728778a0e9b297d8689503f62756a939cbd534ca9b587a</x:v>
      </x:c>
    </x:row>
    <x:row r="467" ht="58" customHeight="1">
      <x:c r="A467" s="23" t="str">
        <x:v>855754489551</x:v>
      </x:c>
      <x:c r="B467" s="22"/>
      <x:c r="C467" s="22"/>
      <x:c r="D467" s="22"/>
      <x:c r="E467" s="9" t="str">
        <x:v>裙长未明确</x:v>
      </x:c>
      <x:c r="F467" s="9" t="str">
        <x:v>裙装</x:v>
      </x:c>
      <x:c r="G467" s="9" t="str">
        <x:v>半身裙</x:v>
      </x:c>
      <x:c r="H467" s="9" t="str">
        <x:v>女</x:v>
      </x:c>
      <x:c r="I467" s="9" t="str">
        <x:v>JORYA商场同款秋季款经典修身优雅鱼尾长半身裙Q147602E</x:v>
      </x:c>
      <x:c r="J467" s="9" t="str">
        <x:v>JORYA</x:v>
      </x:c>
      <x:c r="K467" s="24" t="n">
        <x:v>1777.32</x:v>
      </x:c>
      <x:c r="L467" s="25" t="e">
        <x:f>HYPERLINK("https://item.taobao.com/item.htm?id=855754489551","打开商品")</x:f>
        <x:v>HYPERLINK is not implemented. linkLocation=https://item.taobao.com/item.htm?id=855754489551, friendlyName=打开商品</x:v>
      </x:c>
      <x:c r="M467" s="25" t="e">
        <x:f>HYPERLINK("https://data.zhiyitech.cn/itemDetail/overview/base?itemId=855754489551","打开知衣")</x:f>
        <x:v>HYPERLINK is not implemented. linkLocation=https://data.zhiyitech.cn/itemDetail/overview/base?itemId=855754489551, friendlyName=打开知衣</x:v>
      </x:c>
      <x:c r="N467" s="25" t="e">
        <x:f>HYPERLINK("https://img.alicdn.com/bao/uploaded/i3/2216331887356/O1CN01Ge63NP24D6TKQ1iu3_!!4611686018427380476-0-item_pic.jpg","查看主图")</x:f>
        <x:v>HYPERLINK is not implemented. linkLocation=https://img.alicdn.com/bao/uploaded/i3/2216331887356/O1CN01Ge63NP24D6TKQ1iu3_!!4611686018427380476-0-item_pic.jpg, friendlyName=查看主图</x:v>
      </x:c>
      <x:c r="O467" s="9" t="str">
        <x:v>标题及既有类目语义复核；JORYA商场同款秋季款经典修身优雅鱼尾长半身裙Q147602E；原类目及标题已能确认半身裙；展示使用已知大类，未知裙长下沉到结构字段，不强猜长短。</x:v>
      </x:c>
      <x:c r="P467" s="9" t="str">
        <x:v>普通男女装</x:v>
      </x:c>
      <x:c r="Q467" s="9" t="str">
        <x:v>W_SKIRTS_AVGPAID_1700_1800_ANNUAL2026.xlsx</x:v>
      </x:c>
      <x:c r="R467" s="9" t="str">
        <x:v>默认</x:v>
      </x:c>
      <x:c r="S467" s="9" t="n">
        <x:v>420</x:v>
      </x:c>
      <x:c r="T467" s="9" t="str">
        <x:v>c25ed77c53c7c5cfcf728778a0e9b297d8689503f62756a939cbd534ca9b587a</x:v>
      </x:c>
      <x:c r="U467" s="9" t="str">
        <x:v>W_SKIRTS_AVGPAID_1700_1800_ANNUAL2026</x:v>
      </x:c>
      <x:c r="V467" s="9" t="str">
        <x:v>W_SKIRTS_AVGPAID_1700_1800_ANNUAL2026.xlsx / 默认 / 第420行 / SHA256 c25ed77c53c7c5cfcf728778a0e9b297d8689503f62756a939cbd534ca9b587a</x:v>
      </x:c>
    </x:row>
    <x:row r="468" ht="58" customHeight="1">
      <x:c r="A468" s="23" t="str">
        <x:v>1018630677502</x:v>
      </x:c>
      <x:c r="B468" s="22"/>
      <x:c r="C468" s="22"/>
      <x:c r="D468" s="22"/>
      <x:c r="E468" s="9" t="str">
        <x:v>裙长未明确</x:v>
      </x:c>
      <x:c r="F468" s="9" t="str">
        <x:v>裙装</x:v>
      </x:c>
      <x:c r="G468" s="9" t="str">
        <x:v>半身裙</x:v>
      </x:c>
      <x:c r="H468" s="9" t="str">
        <x:v>女</x:v>
      </x:c>
      <x:c r="I468" s="9" t="str">
        <x:v>Journal Record2026早春新款A字立体抽褶设计造型感花苞半身裙</x:v>
      </x:c>
      <x:c r="J468" s="9" t="str">
        <x:v>JOURNAL RECORD</x:v>
      </x:c>
      <x:c r="K468" s="24" t="n">
        <x:v>1576.46</x:v>
      </x:c>
      <x:c r="L468" s="25" t="e">
        <x:f>HYPERLINK("https://item.taobao.com/item.htm?id=1018630677502","打开商品")</x:f>
        <x:v>HYPERLINK is not implemented. linkLocation=https://item.taobao.com/item.htm?id=1018630677502, friendlyName=打开商品</x:v>
      </x:c>
      <x:c r="M468" s="25" t="e">
        <x:f>HYPERLINK("https://data.zhiyitech.cn/itemDetail/overview/base?itemId=1018630677502","打开知衣")</x:f>
        <x:v>HYPERLINK is not implemented. linkLocation=https://data.zhiyitech.cn/itemDetail/overview/base?itemId=1018630677502, friendlyName=打开知衣</x:v>
      </x:c>
      <x:c r="N468" s="25" t="e">
        <x:f>HYPERLINK("https://img.alicdn.com/bao/uploaded/i4/2219661417885/O1CN01rzG1He287O6ENv3iz_!!4611686018427387293-0-item_pic.jpg","查看主图")</x:f>
        <x:v>HYPERLINK is not implemented. linkLocation=https://img.alicdn.com/bao/uploaded/i4/2219661417885/O1CN01rzG1He287O6ENv3iz_!!4611686018427387293-0-item_pic.jpg, friendlyName=查看主图</x:v>
      </x:c>
      <x:c r="O468" s="9" t="str">
        <x:v>标题及既有类目语义复核；Journal Record2026早春新款A字立体抽褶设计造型感花苞半身裙；原类目及标题已能确认半身裙；展示使用已知大类，未知裙长下沉到结构字段，不强猜长短。</x:v>
      </x:c>
      <x:c r="P468" s="9" t="str">
        <x:v>普通男女装</x:v>
      </x:c>
      <x:c r="Q468" s="9" t="str">
        <x:v>W_SKIRTS_AVGPAID_1500_1600_ANNUAL2026.xlsx</x:v>
      </x:c>
      <x:c r="R468" s="9" t="str">
        <x:v>默认</x:v>
      </x:c>
      <x:c r="S468" s="9" t="n">
        <x:v>438</x:v>
      </x:c>
      <x:c r="T468" s="9" t="str">
        <x:v>deede8b56943df4f914be45dba170f12e69064023d6ef0e88dbde1764f6ba23e</x:v>
      </x:c>
      <x:c r="U468" s="9" t="str">
        <x:v>W_SKIRTS_AVGPAID_1500_1600_ANNUAL2026</x:v>
      </x:c>
      <x:c r="V468" s="9" t="str">
        <x:v>W_SKIRTS_AVGPAID_1500_1600_ANNUAL2026.xlsx / 默认 / 第438行 / SHA256 deede8b56943df4f914be45dba170f12e69064023d6ef0e88dbde1764f6ba23e</x:v>
      </x:c>
    </x:row>
    <x:row r="469" ht="58" customHeight="1">
      <x:c r="A469" s="23" t="str">
        <x:v>1032253879005</x:v>
      </x:c>
      <x:c r="B469" s="22"/>
      <x:c r="C469" s="22"/>
      <x:c r="D469" s="22"/>
      <x:c r="E469" s="9" t="str">
        <x:v>裙长未明确</x:v>
      </x:c>
      <x:c r="F469" s="9" t="str">
        <x:v>裙装</x:v>
      </x:c>
      <x:c r="G469" s="9" t="str">
        <x:v>半身裙</x:v>
      </x:c>
      <x:c r="H469" s="9" t="str">
        <x:v>女</x:v>
      </x:c>
      <x:c r="I469" s="9" t="str">
        <x:v>Journal Record 夏季新款复古学院风纯棉背带水洗浅牛仔蓝半身裙</x:v>
      </x:c>
      <x:c r="J469" s="9" t="str">
        <x:v>JOURNAL RECORD</x:v>
      </x:c>
      <x:c r="K469" s="24" t="n">
        <x:v>1361.56</x:v>
      </x:c>
      <x:c r="L469" s="25" t="e">
        <x:f>HYPERLINK("https://item.taobao.com/item.htm?id=1032253879005","打开商品")</x:f>
        <x:v>HYPERLINK is not implemented. linkLocation=https://item.taobao.com/item.htm?id=1032253879005, friendlyName=打开商品</x:v>
      </x:c>
      <x:c r="M469" s="25" t="e">
        <x:f>HYPERLINK("https://data.zhiyitech.cn/itemDetail/overview/base?itemId=1032253879005","打开知衣")</x:f>
        <x:v>HYPERLINK is not implemented. linkLocation=https://data.zhiyitech.cn/itemDetail/overview/base?itemId=1032253879005, friendlyName=打开知衣</x:v>
      </x:c>
      <x:c r="N469" s="25" t="e">
        <x:f>HYPERLINK("https://img.alicdn.com/bao/uploaded/i4/2219661417885/O1CN01VJx76i287O6imtb8w_!!4611686018427387293-0-item_pic.jpg","查看主图")</x:f>
        <x:v>HYPERLINK is not implemented. linkLocation=https://img.alicdn.com/bao/uploaded/i4/2219661417885/O1CN01VJx76i287O6imtb8w_!!4611686018427387293-0-item_pic.jpg, friendlyName=查看主图</x:v>
      </x:c>
      <x:c r="O469" s="9" t="str">
        <x:v>标题及既有类目语义复核；Journal Record 夏季新款复古学院风纯棉背带水洗浅牛仔蓝半身裙；原类目及标题已能确认半身裙；展示使用已知大类，未知裙长下沉到结构字段，不强猜长短。</x:v>
      </x:c>
      <x:c r="P469" s="9" t="str">
        <x:v>普通男女装</x:v>
      </x:c>
      <x:c r="Q469" s="9" t="str">
        <x:v>W_SKIRTS_AVGPAID_1300_1400_ANNUAL2026.xlsx</x:v>
      </x:c>
      <x:c r="R469" s="9" t="str">
        <x:v>默认</x:v>
      </x:c>
      <x:c r="S469" s="9" t="n">
        <x:v>479</x:v>
      </x:c>
      <x:c r="T469" s="9" t="str">
        <x:v>bd4dae1e08e9eca7ddd0669235bf59107cdc418b9c2898fc16f36a7ab5748692</x:v>
      </x:c>
      <x:c r="U469" s="9" t="str">
        <x:v>W_SKIRTS_AVGPAID_1300_1400_ANNUAL2026</x:v>
      </x:c>
      <x:c r="V469" s="9" t="str">
        <x:v>W_SKIRTS_AVGPAID_1300_1400_ANNUAL2026.xlsx / 默认 / 第479行 / SHA256 bd4dae1e08e9eca7ddd0669235bf59107cdc418b9c2898fc16f36a7ab5748692</x:v>
      </x:c>
    </x:row>
    <x:row r="470" ht="58" customHeight="1">
      <x:c r="A470" s="23" t="str">
        <x:v>1032940158370</x:v>
      </x:c>
      <x:c r="B470" s="22"/>
      <x:c r="C470" s="22"/>
      <x:c r="D470" s="22"/>
      <x:c r="E470" s="9" t="str">
        <x:v>裙长未明确</x:v>
      </x:c>
      <x:c r="F470" s="9" t="str">
        <x:v>裙装</x:v>
      </x:c>
      <x:c r="G470" s="9" t="str">
        <x:v>半身裙</x:v>
      </x:c>
      <x:c r="H470" s="9" t="str">
        <x:v>女</x:v>
      </x:c>
      <x:c r="I470" s="9" t="str">
        <x:v>Journal Record 夏季新款法式设计感解构雪纺花边拼接牛仔半身裙</x:v>
      </x:c>
      <x:c r="J470" s="9" t="str">
        <x:v>JOURNAL RECORD</x:v>
      </x:c>
      <x:c r="K470" s="24" t="n">
        <x:v>1712.57</x:v>
      </x:c>
      <x:c r="L470" s="25" t="e">
        <x:f>HYPERLINK("https://item.taobao.com/item.htm?id=1032940158370","打开商品")</x:f>
        <x:v>HYPERLINK is not implemented. linkLocation=https://item.taobao.com/item.htm?id=1032940158370, friendlyName=打开商品</x:v>
      </x:c>
      <x:c r="M470" s="25" t="e">
        <x:f>HYPERLINK("https://data.zhiyitech.cn/itemDetail/overview/base?itemId=1032940158370","打开知衣")</x:f>
        <x:v>HYPERLINK is not implemented. linkLocation=https://data.zhiyitech.cn/itemDetail/overview/base?itemId=1032940158370, friendlyName=打开知衣</x:v>
      </x:c>
      <x:c r="N470" s="25" t="e">
        <x:f>HYPERLINK("https://img.alicdn.com/bao/uploaded/i4/2219661417885/O1CN01nrNviA287O6ic6NH2_!!4611686018427387293-0-item_pic.jpg","查看主图")</x:f>
        <x:v>HYPERLINK is not implemented. linkLocation=https://img.alicdn.com/bao/uploaded/i4/2219661417885/O1CN01nrNviA287O6ic6NH2_!!4611686018427387293-0-item_pic.jpg, friendlyName=查看主图</x:v>
      </x:c>
      <x:c r="O470" s="9" t="str">
        <x:v>标题及既有类目语义复核；Journal Record 夏季新款法式设计感解构雪纺花边拼接牛仔半身裙；原类目及标题已能确认半身裙；展示使用已知大类，未知裙长下沉到结构字段，不强猜长短。</x:v>
      </x:c>
      <x:c r="P470" s="9" t="str">
        <x:v>普通男女装</x:v>
      </x:c>
      <x:c r="Q470" s="9" t="str">
        <x:v>W_SKIRTS_AVGPAID_1700_1800_ANNUAL2026.xlsx</x:v>
      </x:c>
      <x:c r="R470" s="9" t="str">
        <x:v>默认</x:v>
      </x:c>
      <x:c r="S470" s="9" t="n">
        <x:v>448</x:v>
      </x:c>
      <x:c r="T470" s="9" t="str">
        <x:v>c25ed77c53c7c5cfcf728778a0e9b297d8689503f62756a939cbd534ca9b587a</x:v>
      </x:c>
      <x:c r="U470" s="9" t="str">
        <x:v>W_SKIRTS_AVGPAID_1700_1800_ANNUAL2026</x:v>
      </x:c>
      <x:c r="V470" s="9" t="str">
        <x:v>W_SKIRTS_AVGPAID_1700_1800_ANNUAL2026.xlsx / 默认 / 第448行 / SHA256 c25ed77c53c7c5cfcf728778a0e9b297d8689503f62756a939cbd534ca9b587a</x:v>
      </x:c>
    </x:row>
    <x:row r="471" ht="58" customHeight="1">
      <x:c r="A471" s="23" t="str">
        <x:v>1043010220791</x:v>
      </x:c>
      <x:c r="B471" s="22"/>
      <x:c r="C471" s="22"/>
      <x:c r="D471" s="22"/>
      <x:c r="E471" s="9" t="str">
        <x:v>裙长未明确</x:v>
      </x:c>
      <x:c r="F471" s="9" t="str">
        <x:v>裙装</x:v>
      </x:c>
      <x:c r="G471" s="9" t="str">
        <x:v>半身裙</x:v>
      </x:c>
      <x:c r="H471" s="9" t="str">
        <x:v>女</x:v>
      </x:c>
      <x:c r="I471" s="9" t="str">
        <x:v>RAW STONE 拼色民族风织带松紧腰花苞型半裙26春夏JUNESHAN</x:v>
      </x:c>
      <x:c r="J471" s="9" t="str">
        <x:v>JUNESHAN</x:v>
      </x:c>
      <x:c r="K471" s="24" t="n">
        <x:v>1504.56</x:v>
      </x:c>
      <x:c r="L471" s="25" t="e">
        <x:f>HYPERLINK("https://item.taobao.com/item.htm?id=1043010220791","打开商品")</x:f>
        <x:v>HYPERLINK is not implemented. linkLocation=https://item.taobao.com/item.htm?id=1043010220791, friendlyName=打开商品</x:v>
      </x:c>
      <x:c r="M471" s="25" t="e">
        <x:f>HYPERLINK("https://data.zhiyitech.cn/itemDetail/overview/base?itemId=1043010220791","打开知衣")</x:f>
        <x:v>HYPERLINK is not implemented. linkLocation=https://data.zhiyitech.cn/itemDetail/overview/base?itemId=1043010220791, friendlyName=打开知衣</x:v>
      </x:c>
      <x:c r="N471" s="25" t="e">
        <x:f>HYPERLINK("https://img.alicdn.com/bao/uploaded/i2/2204762071/O1CN01AIX6CS1RAZNxm9aMc_!!2204762071.jpg","查看主图")</x:f>
        <x:v>HYPERLINK is not implemented. linkLocation=https://img.alicdn.com/bao/uploaded/i2/2204762071/O1CN01AIX6CS1RAZNxm9aMc_!!2204762071.jpg, friendlyName=查看主图</x:v>
      </x:c>
      <x:c r="O471" s="9" t="str">
        <x:v>标题及既有类目语义复核；RAW STONE 拼色民族风织带松紧腰花苞型半裙26春夏JUNESHAN；原类目及标题已能确认半身裙；展示使用已知大类，未知裙长下沉到结构字段，不强猜长短。</x:v>
      </x:c>
      <x:c r="P471" s="9" t="str">
        <x:v>普通男女装</x:v>
      </x:c>
      <x:c r="Q471" s="9" t="str">
        <x:v>W_SKIRTS_AVGPAID_1500_1600_ANNUAL2026.xlsx</x:v>
      </x:c>
      <x:c r="R471" s="9" t="str">
        <x:v>默认</x:v>
      </x:c>
      <x:c r="S471" s="9" t="n">
        <x:v>258</x:v>
      </x:c>
      <x:c r="T471" s="9" t="str">
        <x:v>deede8b56943df4f914be45dba170f12e69064023d6ef0e88dbde1764f6ba23e</x:v>
      </x:c>
      <x:c r="U471" s="9" t="str">
        <x:v>W_SKIRTS_AVGPAID_1500_1600_ANNUAL2026</x:v>
      </x:c>
      <x:c r="V471" s="9" t="str">
        <x:v>W_SKIRTS_AVGPAID_1500_1600_ANNUAL2026.xlsx / 默认 / 第258行 / SHA256 deede8b56943df4f914be45dba170f12e69064023d6ef0e88dbde1764f6ba23e</x:v>
      </x:c>
    </x:row>
    <x:row r="472" ht="58" customHeight="1">
      <x:c r="A472" s="23" t="str">
        <x:v>1043535789816</x:v>
      </x:c>
      <x:c r="B472" s="22"/>
      <x:c r="C472" s="22"/>
      <x:c r="D472" s="22"/>
      <x:c r="E472" s="9" t="str">
        <x:v>裙长未明确</x:v>
      </x:c>
      <x:c r="F472" s="9" t="str">
        <x:v>裙装</x:v>
      </x:c>
      <x:c r="G472" s="9" t="str">
        <x:v>半身裙</x:v>
      </x:c>
      <x:c r="H472" s="9" t="str">
        <x:v>女</x:v>
      </x:c>
      <x:c r="I472" s="9" t="str">
        <x:v>【特价】RAW STONE 合作款松紧腰莱赛尔混纺斜摆刺绣半裙JUNESHAN</x:v>
      </x:c>
      <x:c r="J472" s="9" t="str">
        <x:v>JUNESHAN</x:v>
      </x:c>
      <x:c r="K472" s="24" t="n">
        <x:v>1305.08</x:v>
      </x:c>
      <x:c r="L472" s="25" t="e">
        <x:f>HYPERLINK("https://item.taobao.com/item.htm?id=1043535789816","打开商品")</x:f>
        <x:v>HYPERLINK is not implemented. linkLocation=https://item.taobao.com/item.htm?id=1043535789816, friendlyName=打开商品</x:v>
      </x:c>
      <x:c r="M472" s="25" t="e">
        <x:f>HYPERLINK("https://data.zhiyitech.cn/itemDetail/overview/base?itemId=1043535789816","打开知衣")</x:f>
        <x:v>HYPERLINK is not implemented. linkLocation=https://data.zhiyitech.cn/itemDetail/overview/base?itemId=1043535789816, friendlyName=打开知衣</x:v>
      </x:c>
      <x:c r="N472" s="25" t="e">
        <x:f>HYPERLINK("https://img.alicdn.com/bao/uploaded/i4/2204762071/O1CN01TTMYsD1RAZPAhQxRw_!!2204762071.jpg","查看主图")</x:f>
        <x:v>HYPERLINK is not implemented. linkLocation=https://img.alicdn.com/bao/uploaded/i4/2204762071/O1CN01TTMYsD1RAZPAhQxRw_!!2204762071.jpg, friendlyName=查看主图</x:v>
      </x:c>
      <x:c r="O472" s="9" t="str">
        <x:v>标题及既有类目语义复核；【特价】RAW STONE 合作款松紧腰莱赛尔混纺斜摆刺绣半裙JUNESHAN；原类目及标题已能确认半身裙；展示使用已知大类，未知裙长下沉到结构字段，不强猜长短。</x:v>
      </x:c>
      <x:c r="P472" s="9" t="str">
        <x:v>普通男女装</x:v>
      </x:c>
      <x:c r="Q472" s="9" t="str">
        <x:v>W_SKIRTS_AVGPAID_1300_1400_ANNUAL2026.xlsx</x:v>
      </x:c>
      <x:c r="R472" s="9" t="str">
        <x:v>默认</x:v>
      </x:c>
      <x:c r="S472" s="9" t="n">
        <x:v>186</x:v>
      </x:c>
      <x:c r="T472" s="9" t="str">
        <x:v>bd4dae1e08e9eca7ddd0669235bf59107cdc418b9c2898fc16f36a7ab5748692</x:v>
      </x:c>
      <x:c r="U472" s="9" t="str">
        <x:v>W_SKIRTS_AVGPAID_1300_1400_ANNUAL2026</x:v>
      </x:c>
      <x:c r="V472" s="9" t="str">
        <x:v>W_SKIRTS_AVGPAID_1300_1400_ANNUAL2026.xlsx / 默认 / 第186行 / SHA256 bd4dae1e08e9eca7ddd0669235bf59107cdc418b9c2898fc16f36a7ab5748692</x:v>
      </x:c>
    </x:row>
    <x:row r="473" ht="58" customHeight="1">
      <x:c r="A473" s="23" t="str">
        <x:v>1073918356328</x:v>
      </x:c>
      <x:c r="B473" s="22"/>
      <x:c r="C473" s="22"/>
      <x:c r="D473" s="22"/>
      <x:c r="E473" s="9" t="str">
        <x:v>裙长未明确</x:v>
      </x:c>
      <x:c r="F473" s="9" t="str">
        <x:v>裙装</x:v>
      </x:c>
      <x:c r="G473" s="9" t="str">
        <x:v>半身裙</x:v>
      </x:c>
      <x:c r="H473" s="9" t="str">
        <x:v>女</x:v>
      </x:c>
      <x:c r="I473" s="9" t="str">
        <x:v>【deepmoss】主推款霜野银辉印花松紧腰鱼尾裙半身裙26秋JUNESHAN</x:v>
      </x:c>
      <x:c r="J473" s="9" t="str">
        <x:v>JUNESHAN</x:v>
      </x:c>
      <x:c r="K473" s="24" t="n">
        <x:v>1724.24</x:v>
      </x:c>
      <x:c r="L473" s="25" t="e">
        <x:f>HYPERLINK("https://item.taobao.com/item.htm?id=1073918356328","打开商品")</x:f>
        <x:v>HYPERLINK is not implemented. linkLocation=https://item.taobao.com/item.htm?id=1073918356328, friendlyName=打开商品</x:v>
      </x:c>
      <x:c r="M473" s="25" t="e">
        <x:f>HYPERLINK("https://data.zhiyitech.cn/itemDetail/overview/base?itemId=1073918356328","打开知衣")</x:f>
        <x:v>HYPERLINK is not implemented. linkLocation=https://data.zhiyitech.cn/itemDetail/overview/base?itemId=1073918356328, friendlyName=打开知衣</x:v>
      </x:c>
      <x:c r="N473" s="25" t="e">
        <x:f>HYPERLINK("https://img.alicdn.com/bao/uploaded/i1/2204762071/O1CN01S8StYwrqa9I32pKq_!!2204762071.jpg","查看主图")</x:f>
        <x:v>HYPERLINK is not implemented. linkLocation=https://img.alicdn.com/bao/uploaded/i1/2204762071/O1CN01S8StYwrqa9I32pKq_!!2204762071.jpg, friendlyName=查看主图</x:v>
      </x:c>
      <x:c r="O473" s="9" t="str">
        <x:v>标题及既有类目语义复核；【deepmoss】主推款霜野银辉印花松紧腰鱼尾裙半身裙26秋JUNESHAN；原类目及标题已能确认半身裙；展示使用已知大类，未知裙长下沉到结构字段，不强猜长短。</x:v>
      </x:c>
      <x:c r="P473" s="9" t="str">
        <x:v>普通男女装</x:v>
      </x:c>
      <x:c r="Q473" s="9" t="str">
        <x:v>W_SKIRTS_AVGPAID_1700_1800_ANNUAL2026.xlsx</x:v>
      </x:c>
      <x:c r="R473" s="9" t="str">
        <x:v>默认</x:v>
      </x:c>
      <x:c r="S473" s="9" t="n">
        <x:v>148</x:v>
      </x:c>
      <x:c r="T473" s="9" t="str">
        <x:v>c25ed77c53c7c5cfcf728778a0e9b297d8689503f62756a939cbd534ca9b587a</x:v>
      </x:c>
      <x:c r="U473" s="9" t="str">
        <x:v>W_SKIRTS_AVGPAID_1700_1800_ANNUAL2026</x:v>
      </x:c>
      <x:c r="V473" s="9" t="str">
        <x:v>W_SKIRTS_AVGPAID_1700_1800_ANNUAL2026.xlsx / 默认 / 第148行 / SHA256 c25ed77c53c7c5cfcf728778a0e9b297d8689503f62756a939cbd534ca9b587a</x:v>
      </x:c>
    </x:row>
    <x:row r="474" ht="58" customHeight="1">
      <x:c r="A474" s="23" t="str">
        <x:v>1085537512411</x:v>
      </x:c>
      <x:c r="B474" s="22"/>
      <x:c r="C474" s="22"/>
      <x:c r="D474" s="22"/>
      <x:c r="E474" s="9" t="str">
        <x:v>裙长未明确</x:v>
      </x:c>
      <x:c r="F474" s="9" t="str">
        <x:v>裙装</x:v>
      </x:c>
      <x:c r="G474" s="9" t="str">
        <x:v>半身裙</x:v>
      </x:c>
      <x:c r="H474" s="9" t="str">
        <x:v>女</x:v>
      </x:c>
      <x:c r="I474" s="9" t="str">
        <x:v>COTEMP 自留款两面穿轻盈伞裙廓形百褶半身裙子女26秋冬JUNESHAN</x:v>
      </x:c>
      <x:c r="J474" s="9" t="str">
        <x:v>JUNESHAN</x:v>
      </x:c>
      <x:c r="K474" s="24" t="n">
        <x:v>1796.68</x:v>
      </x:c>
      <x:c r="L474" s="25" t="e">
        <x:f>HYPERLINK("https://item.taobao.com/item.htm?id=1085537512411","打开商品")</x:f>
        <x:v>HYPERLINK is not implemented. linkLocation=https://item.taobao.com/item.htm?id=1085537512411, friendlyName=打开商品</x:v>
      </x:c>
      <x:c r="M474" s="25" t="e">
        <x:f>HYPERLINK("https://data.zhiyitech.cn/itemDetail/overview/base?itemId=1085537512411","打开知衣")</x:f>
        <x:v>HYPERLINK is not implemented. linkLocation=https://data.zhiyitech.cn/itemDetail/overview/base?itemId=1085537512411, friendlyName=打开知衣</x:v>
      </x:c>
      <x:c r="N474" s="25" t="e">
        <x:f>HYPERLINK("https://img.alicdn.com/bao/uploaded/i3/2204762071/O1CN012pTmqW7w5NL32pKq_!!2204762071.jpg","查看主图")</x:f>
        <x:v>HYPERLINK is not implemented. linkLocation=https://img.alicdn.com/bao/uploaded/i3/2204762071/O1CN012pTmqW7w5NL32pKq_!!2204762071.jpg, friendlyName=查看主图</x:v>
      </x:c>
      <x:c r="O474" s="9" t="str">
        <x:v>标题及既有类目语义复核；COTEMP 自留款两面穿轻盈伞裙廓形百褶半身裙子女26秋冬JUNESHAN；原类目及标题已能确认半身裙；展示使用已知大类，未知裙长下沉到结构字段，不强猜长短。</x:v>
      </x:c>
      <x:c r="P474" s="9" t="str">
        <x:v>普通男女装</x:v>
      </x:c>
      <x:c r="Q474" s="9" t="str">
        <x:v>W_SKIRTS_AVGPAID_1700_1800_ANNUAL2026.xlsx</x:v>
      </x:c>
      <x:c r="R474" s="9" t="str">
        <x:v>默认</x:v>
      </x:c>
      <x:c r="S474" s="9" t="n">
        <x:v>100</x:v>
      </x:c>
      <x:c r="T474" s="9" t="str">
        <x:v>c25ed77c53c7c5cfcf728778a0e9b297d8689503f62756a939cbd534ca9b587a</x:v>
      </x:c>
      <x:c r="U474" s="9" t="str">
        <x:v>W_SKIRTS_AVGPAID_1700_1800_ANNUAL2026</x:v>
      </x:c>
      <x:c r="V474" s="9" t="str">
        <x:v>W_SKIRTS_AVGPAID_1700_1800_ANNUAL2026.xlsx / 默认 / 第100行 / SHA256 c25ed77c53c7c5cfcf728778a0e9b297d8689503f62756a939cbd534ca9b587a</x:v>
      </x:c>
    </x:row>
    <x:row r="475" ht="58" customHeight="1">
      <x:c r="A475" s="23" t="str">
        <x:v>992137536531</x:v>
      </x:c>
      <x:c r="B475" s="22"/>
      <x:c r="C475" s="22"/>
      <x:c r="D475" s="22"/>
      <x:c r="E475" s="9" t="str">
        <x:v>裙长未明确</x:v>
      </x:c>
      <x:c r="F475" s="9" t="str">
        <x:v>裙装</x:v>
      </x:c>
      <x:c r="G475" s="9" t="str">
        <x:v>半身裙</x:v>
      </x:c>
      <x:c r="H475" s="9" t="str">
        <x:v>女</x:v>
      </x:c>
      <x:c r="I475" s="9" t="str">
        <x:v>TOAST 橄榄绿灯芯绒两侧纽扣半松紧腰A字长半裙女25秋冬JUNESHAN</x:v>
      </x:c>
      <x:c r="J475" s="9" t="str">
        <x:v>JUNESHAN</x:v>
      </x:c>
      <x:c r="K475" s="24" t="n">
        <x:v>1763.9</x:v>
      </x:c>
      <x:c r="L475" s="25" t="e">
        <x:f>HYPERLINK("https://item.taobao.com/item.htm?id=992137536531","打开商品")</x:f>
        <x:v>HYPERLINK is not implemented. linkLocation=https://item.taobao.com/item.htm?id=992137536531, friendlyName=打开商品</x:v>
      </x:c>
      <x:c r="M475" s="25" t="e">
        <x:f>HYPERLINK("https://data.zhiyitech.cn/itemDetail/overview/base?itemId=992137536531","打开知衣")</x:f>
        <x:v>HYPERLINK is not implemented. linkLocation=https://data.zhiyitech.cn/itemDetail/overview/base?itemId=992137536531, friendlyName=打开知衣</x:v>
      </x:c>
      <x:c r="N475" s="25" t="e">
        <x:f>HYPERLINK("https://img.alicdn.com/i2/2204762071/O1CN01sjJLsr1RAZM0aTxl9_!!2204762071.jpg","查看主图")</x:f>
        <x:v>HYPERLINK is not implemented. linkLocation=https://img.alicdn.com/i2/2204762071/O1CN01sjJLsr1RAZM0aTxl9_!!2204762071.jpg, friendlyName=查看主图</x:v>
      </x:c>
      <x:c r="O475" s="9" t="str">
        <x:v>标题及既有类目语义复核；TOAST 橄榄绿灯芯绒两侧纽扣半松紧腰A字长半裙女25秋冬JUNESHAN；原类目及标题已能确认半身裙；展示使用已知大类，未知裙长下沉到结构字段，不强猜长短。</x:v>
      </x:c>
      <x:c r="P475" s="9" t="str">
        <x:v>普通男女装</x:v>
      </x:c>
      <x:c r="Q475" s="9" t="str">
        <x:v>W_SKIRTS_AVGPAID_1700_1800_ANNUAL2026.xlsx</x:v>
      </x:c>
      <x:c r="R475" s="9" t="str">
        <x:v>默认</x:v>
      </x:c>
      <x:c r="S475" s="9" t="n">
        <x:v>286</x:v>
      </x:c>
      <x:c r="T475" s="9" t="str">
        <x:v>c25ed77c53c7c5cfcf728778a0e9b297d8689503f62756a939cbd534ca9b587a</x:v>
      </x:c>
      <x:c r="U475" s="9" t="str">
        <x:v>W_SKIRTS_AVGPAID_1700_1800_ANNUAL2026</x:v>
      </x:c>
      <x:c r="V475" s="9" t="str">
        <x:v>W_SKIRTS_AVGPAID_1700_1800_ANNUAL2026.xlsx / 默认 / 第286行 / SHA256 c25ed77c53c7c5cfcf728778a0e9b297d8689503f62756a939cbd534ca9b587a</x:v>
      </x:c>
    </x:row>
    <x:row r="476" ht="58" customHeight="1">
      <x:c r="A476" s="23" t="str">
        <x:v>1063844603761</x:v>
      </x:c>
      <x:c r="B476" s="22"/>
      <x:c r="C476" s="22"/>
      <x:c r="D476" s="22"/>
      <x:c r="E476" s="9" t="str">
        <x:v>裙长未明确</x:v>
      </x:c>
      <x:c r="F476" s="9" t="str">
        <x:v>裙装</x:v>
      </x:c>
      <x:c r="G476" s="9" t="str">
        <x:v>半身裙</x:v>
      </x:c>
      <x:c r="H476" s="9" t="str">
        <x:v>女</x:v>
      </x:c>
      <x:c r="I476" s="9" t="str">
        <x:v>JUNWEI LIN早秋假日新品 经典款重工曲牙花边压褶半裙</x:v>
      </x:c>
      <x:c r="J476" s="9" t="str">
        <x:v>JUNWEI LIN</x:v>
      </x:c>
      <x:c r="K476" s="24" t="n">
        <x:v>1751.65</x:v>
      </x:c>
      <x:c r="L476" s="25" t="e">
        <x:f>HYPERLINK("https://item.taobao.com/item.htm?id=1063844603761","打开商品")</x:f>
        <x:v>HYPERLINK is not implemented. linkLocation=https://item.taobao.com/item.htm?id=1063844603761, friendlyName=打开商品</x:v>
      </x:c>
      <x:c r="M476" s="25" t="e">
        <x:f>HYPERLINK("https://data.zhiyitech.cn/itemDetail/overview/base?itemId=1063844603761","打开知衣")</x:f>
        <x:v>HYPERLINK is not implemented. linkLocation=https://data.zhiyitech.cn/itemDetail/overview/base?itemId=1063844603761, friendlyName=打开知衣</x:v>
      </x:c>
      <x:c r="N476" s="25" t="e">
        <x:f>HYPERLINK("https://img.alicdn.com/bao/uploaded/i2/2219164621138/O1CN01e6XvBOSj27D2vH2e_!!2219164621138.jpg","查看主图")</x:f>
        <x:v>HYPERLINK is not implemented. linkLocation=https://img.alicdn.com/bao/uploaded/i2/2219164621138/O1CN01e6XvBOSj27D2vH2e_!!2219164621138.jpg, friendlyName=查看主图</x:v>
      </x:c>
      <x:c r="O476" s="9" t="str">
        <x:v>标题及既有类目语义复核；JUNWEI LIN早秋假日新品 经典款重工曲牙花边压褶半裙；原类目及标题已能确认半身裙；展示使用已知大类，未知裙长下沉到结构字段，不强猜长短。</x:v>
      </x:c>
      <x:c r="P476" s="9" t="str">
        <x:v>普通男女装</x:v>
      </x:c>
      <x:c r="Q476" s="9" t="str">
        <x:v>W_SKIRTS_AVGPAID_1700_1800_ANNUAL2026.xlsx</x:v>
      </x:c>
      <x:c r="R476" s="9" t="str">
        <x:v>默认</x:v>
      </x:c>
      <x:c r="S476" s="9" t="n">
        <x:v>273</x:v>
      </x:c>
      <x:c r="T476" s="9" t="str">
        <x:v>c25ed77c53c7c5cfcf728778a0e9b297d8689503f62756a939cbd534ca9b587a</x:v>
      </x:c>
      <x:c r="U476" s="9" t="str">
        <x:v>W_SKIRTS_AVGPAID_1700_1800_ANNUAL2026</x:v>
      </x:c>
      <x:c r="V476" s="9" t="str">
        <x:v>W_SKIRTS_AVGPAID_1700_1800_ANNUAL2026.xlsx / 默认 / 第273行 / SHA256 c25ed77c53c7c5cfcf728778a0e9b297d8689503f62756a939cbd534ca9b587a</x:v>
      </x:c>
    </x:row>
    <x:row r="477" ht="58" customHeight="1">
      <x:c r="A477" s="23" t="str">
        <x:v>926339377513</x:v>
      </x:c>
      <x:c r="B477" s="22"/>
      <x:c r="C477" s="22"/>
      <x:c r="D477" s="22"/>
      <x:c r="E477" s="9" t="str">
        <x:v>裙长未明确</x:v>
      </x:c>
      <x:c r="F477" s="9" t="str">
        <x:v>裙装</x:v>
      </x:c>
      <x:c r="G477" s="9" t="str">
        <x:v>半身裙</x:v>
      </x:c>
      <x:c r="H477" s="9" t="str">
        <x:v>女</x:v>
      </x:c>
      <x:c r="I477" s="9" t="str">
        <x:v>JUZININE真丝大摆花苞裙</x:v>
      </x:c>
      <x:c r="J477" s="9" t="str">
        <x:v>JUZININE</x:v>
      </x:c>
      <x:c r="K477" s="24" t="n">
        <x:v>1560.02</x:v>
      </x:c>
      <x:c r="L477" s="25" t="e">
        <x:f>HYPERLINK("https://item.taobao.com/item.htm?id=926339377513","打开商品")</x:f>
        <x:v>HYPERLINK is not implemented. linkLocation=https://item.taobao.com/item.htm?id=926339377513, friendlyName=打开商品</x:v>
      </x:c>
      <x:c r="M477" s="25" t="e">
        <x:f>HYPERLINK("https://data.zhiyitech.cn/itemDetail/overview/base?itemId=926339377513","打开知衣")</x:f>
        <x:v>HYPERLINK is not implemented. linkLocation=https://data.zhiyitech.cn/itemDetail/overview/base?itemId=926339377513, friendlyName=打开知衣</x:v>
      </x:c>
      <x:c r="N477" s="25" t="e">
        <x:f>HYPERLINK("https://img.alicdn.com/bao/uploaded/i4/3353039935/O1CN01tI0eLY2NGHyEOkzL4_!!3353039935.jpg","查看主图")</x:f>
        <x:v>HYPERLINK is not implemented. linkLocation=https://img.alicdn.com/bao/uploaded/i4/3353039935/O1CN01tI0eLY2NGHyEOkzL4_!!3353039935.jpg, friendlyName=查看主图</x:v>
      </x:c>
      <x:c r="O477" s="9" t="str">
        <x:v>标题及既有类目语义复核；JUZININE真丝大摆花苞裙；原类目及标题已能确认半身裙；展示使用已知大类，未知裙长下沉到结构字段，不强猜长短。</x:v>
      </x:c>
      <x:c r="P477" s="9" t="str">
        <x:v>普通男女装</x:v>
      </x:c>
      <x:c r="Q477" s="9" t="str">
        <x:v>W_SKIRTS_AVGPAID_1500_1600_ANNUAL2026.xlsx</x:v>
      </x:c>
      <x:c r="R477" s="9" t="str">
        <x:v>默认</x:v>
      </x:c>
      <x:c r="S477" s="9" t="n">
        <x:v>455</x:v>
      </x:c>
      <x:c r="T477" s="9" t="str">
        <x:v>deede8b56943df4f914be45dba170f12e69064023d6ef0e88dbde1764f6ba23e</x:v>
      </x:c>
      <x:c r="U477" s="9" t="str">
        <x:v>W_SKIRTS_AVGPAID_1500_1600_ANNUAL2026</x:v>
      </x:c>
      <x:c r="V477" s="9" t="str">
        <x:v>W_SKIRTS_AVGPAID_1500_1600_ANNUAL2026.xlsx / 默认 / 第455行 / SHA256 deede8b56943df4f914be45dba170f12e69064023d6ef0e88dbde1764f6ba23e</x:v>
      </x:c>
    </x:row>
    <x:row r="478" ht="58" customHeight="1">
      <x:c r="A478" s="23" t="str">
        <x:v>1011426647092</x:v>
      </x:c>
      <x:c r="B478" s="22"/>
      <x:c r="C478" s="22"/>
      <x:c r="D478" s="22"/>
      <x:c r="E478" s="9" t="str">
        <x:v>裙长未明确</x:v>
      </x:c>
      <x:c r="F478" s="9" t="str">
        <x:v>裙装</x:v>
      </x:c>
      <x:c r="G478" s="9" t="str">
        <x:v>半身裙</x:v>
      </x:c>
      <x:c r="H478" s="9" t="str">
        <x:v>女</x:v>
      </x:c>
      <x:c r="I478" s="9" t="str">
        <x:v>卡米兰新款法式网纱高腰半身裙</x:v>
      </x:c>
      <x:c r="J478" s="9" t="str">
        <x:v>KAMILAN 卡米兰</x:v>
      </x:c>
      <x:c r="K478" s="24" t="n">
        <x:v>1765.06</x:v>
      </x:c>
      <x:c r="L478" s="25" t="e">
        <x:f>HYPERLINK("https://item.taobao.com/item.htm?id=1011426647092","打开商品")</x:f>
        <x:v>HYPERLINK is not implemented. linkLocation=https://item.taobao.com/item.htm?id=1011426647092, friendlyName=打开商品</x:v>
      </x:c>
      <x:c r="M478" s="25" t="e">
        <x:f>HYPERLINK("https://data.zhiyitech.cn/itemDetail/overview/base?itemId=1011426647092","打开知衣")</x:f>
        <x:v>HYPERLINK is not implemented. linkLocation=https://data.zhiyitech.cn/itemDetail/overview/base?itemId=1011426647092, friendlyName=打开知衣</x:v>
      </x:c>
      <x:c r="N478" s="25" t="e">
        <x:f>HYPERLINK("https://img.alicdn.com/bao/uploaded/i4/773923628/O1CN017nvec91cfg2oAS0aP_!!4611686018427380524-0-item_pic.jpg","查看主图")</x:f>
        <x:v>HYPERLINK is not implemented. linkLocation=https://img.alicdn.com/bao/uploaded/i4/773923628/O1CN017nvec91cfg2oAS0aP_!!4611686018427380524-0-item_pic.jpg, friendlyName=查看主图</x:v>
      </x:c>
      <x:c r="O478" s="9" t="str">
        <x:v>标题及既有类目语义复核；卡米兰新款法式网纱高腰半身裙；原类目及标题已能确认半身裙；展示使用已知大类，未知裙长下沉到结构字段，不强猜长短。</x:v>
      </x:c>
      <x:c r="P478" s="9" t="str">
        <x:v>普通男女装</x:v>
      </x:c>
      <x:c r="Q478" s="9" t="str">
        <x:v>W_SKIRTS_AVGPAID_1700_1800_ANNUAL2026.xlsx</x:v>
      </x:c>
      <x:c r="R478" s="9" t="str">
        <x:v>默认</x:v>
      </x:c>
      <x:c r="S478" s="9" t="n">
        <x:v>27</x:v>
      </x:c>
      <x:c r="T478" s="9" t="str">
        <x:v>c25ed77c53c7c5cfcf728778a0e9b297d8689503f62756a939cbd534ca9b587a</x:v>
      </x:c>
      <x:c r="U478" s="9" t="str">
        <x:v>W_SKIRTS_AVGPAID_1700_1800_ANNUAL2026</x:v>
      </x:c>
      <x:c r="V478" s="9" t="str">
        <x:v>W_SKIRTS_AVGPAID_1700_1800_ANNUAL2026.xlsx / 默认 / 第27行 / SHA256 c25ed77c53c7c5cfcf728778a0e9b297d8689503f62756a939cbd534ca9b587a</x:v>
      </x:c>
    </x:row>
    <x:row r="479" ht="58" customHeight="1">
      <x:c r="A479" s="23" t="str">
        <x:v>1013030145237</x:v>
      </x:c>
      <x:c r="B479" s="22"/>
      <x:c r="C479" s="22"/>
      <x:c r="D479" s="22"/>
      <x:c r="E479" s="9" t="str">
        <x:v>裙长未明确</x:v>
      </x:c>
      <x:c r="F479" s="9" t="str">
        <x:v>裙装</x:v>
      </x:c>
      <x:c r="G479" s="9" t="str">
        <x:v>半身裙</x:v>
      </x:c>
      <x:c r="H479" s="9" t="str">
        <x:v>女</x:v>
      </x:c>
      <x:c r="I479" s="9" t="str">
        <x:v>卡米兰新款高腰开叉包臀半身裙</x:v>
      </x:c>
      <x:c r="J479" s="9" t="str">
        <x:v>KAMILAN 卡米兰</x:v>
      </x:c>
      <x:c r="K479" s="24" t="n">
        <x:v>1713.16</x:v>
      </x:c>
      <x:c r="L479" s="25" t="e">
        <x:f>HYPERLINK("https://item.taobao.com/item.htm?id=1013030145237","打开商品")</x:f>
        <x:v>HYPERLINK is not implemented. linkLocation=https://item.taobao.com/item.htm?id=1013030145237, friendlyName=打开商品</x:v>
      </x:c>
      <x:c r="M479" s="25" t="e">
        <x:f>HYPERLINK("https://data.zhiyitech.cn/itemDetail/overview/base?itemId=1013030145237","打开知衣")</x:f>
        <x:v>HYPERLINK is not implemented. linkLocation=https://data.zhiyitech.cn/itemDetail/overview/base?itemId=1013030145237, friendlyName=打开知衣</x:v>
      </x:c>
      <x:c r="N479" s="25" t="e">
        <x:f>HYPERLINK("https://img.alicdn.com/bao/uploaded/i4/773923628/O1CN01d5iq1e1cfg2nJ1BxD_!!4611686018427380524-0-item_pic.jpg","查看主图")</x:f>
        <x:v>HYPERLINK is not implemented. linkLocation=https://img.alicdn.com/bao/uploaded/i4/773923628/O1CN01d5iq1e1cfg2nJ1BxD_!!4611686018427380524-0-item_pic.jpg, friendlyName=查看主图</x:v>
      </x:c>
      <x:c r="O479" s="9" t="str">
        <x:v>标题及既有类目语义复核；卡米兰新款高腰开叉包臀半身裙；原类目及标题已能确认半身裙；展示使用已知大类，未知裙长下沉到结构字段，不强猜长短。</x:v>
      </x:c>
      <x:c r="P479" s="9" t="str">
        <x:v>普通男女装</x:v>
      </x:c>
      <x:c r="Q479" s="9" t="str">
        <x:v>W_SKIRTS_AVGPAID_1700_1800_ANNUAL2026.xlsx</x:v>
      </x:c>
      <x:c r="R479" s="9" t="str">
        <x:v>默认</x:v>
      </x:c>
      <x:c r="S479" s="9" t="n">
        <x:v>279</x:v>
      </x:c>
      <x:c r="T479" s="9" t="str">
        <x:v>c25ed77c53c7c5cfcf728778a0e9b297d8689503f62756a939cbd534ca9b587a</x:v>
      </x:c>
      <x:c r="U479" s="9" t="str">
        <x:v>W_SKIRTS_AVGPAID_1700_1800_ANNUAL2026</x:v>
      </x:c>
      <x:c r="V479" s="9" t="str">
        <x:v>W_SKIRTS_AVGPAID_1700_1800_ANNUAL2026.xlsx / 默认 / 第279行 / SHA256 c25ed77c53c7c5cfcf728778a0e9b297d8689503f62756a939cbd534ca9b587a</x:v>
      </x:c>
    </x:row>
    <x:row r="480" ht="58" customHeight="1">
      <x:c r="A480" s="23" t="str">
        <x:v>1042791103077</x:v>
      </x:c>
      <x:c r="B480" s="22"/>
      <x:c r="C480" s="22"/>
      <x:c r="D480" s="22"/>
      <x:c r="E480" s="9" t="str">
        <x:v>裙长未明确</x:v>
      </x:c>
      <x:c r="F480" s="9" t="str">
        <x:v>裙装</x:v>
      </x:c>
      <x:c r="G480" s="9" t="str">
        <x:v>半身裙</x:v>
      </x:c>
      <x:c r="H480" s="9" t="str">
        <x:v>女</x:v>
      </x:c>
      <x:c r="I480" s="9" t="str">
        <x:v>老佛爷藏青色刺绣设计百褶裙</x:v>
      </x:c>
      <x:c r="J480" s="9" t="str">
        <x:v>KARL LAGERFELD</x:v>
      </x:c>
      <x:c r="K480" s="24" t="n">
        <x:v>1703.36</x:v>
      </x:c>
      <x:c r="L480" s="25" t="e">
        <x:f>HYPERLINK("https://item.taobao.com/item.htm?id=1042791103077","打开商品")</x:f>
        <x:v>HYPERLINK is not implemented. linkLocation=https://item.taobao.com/item.htm?id=1042791103077, friendlyName=打开商品</x:v>
      </x:c>
      <x:c r="M480" s="25" t="e">
        <x:f>HYPERLINK("https://data.zhiyitech.cn/itemDetail/overview/base?itemId=1042791103077","打开知衣")</x:f>
        <x:v>HYPERLINK is not implemented. linkLocation=https://data.zhiyitech.cn/itemDetail/overview/base?itemId=1042791103077, friendlyName=打开知衣</x:v>
      </x:c>
      <x:c r="N480" s="25" t="e">
        <x:f>HYPERLINK("https://img.alicdn.com/bao/uploaded/i3/2207464337589/O1CN01vhQpbSZRqyK2vH2e_!!2207464337589.jpg","查看主图")</x:f>
        <x:v>HYPERLINK is not implemented. linkLocation=https://img.alicdn.com/bao/uploaded/i3/2207464337589/O1CN01vhQpbSZRqyK2vH2e_!!2207464337589.jpg, friendlyName=查看主图</x:v>
      </x:c>
      <x:c r="O480" s="9" t="str">
        <x:v>标题及既有类目语义复核；老佛爷藏青色刺绣设计百褶裙；原类目及标题已能确认半身裙；展示使用已知大类，未知裙长下沉到结构字段，不强猜长短。</x:v>
      </x:c>
      <x:c r="P480" s="9" t="str">
        <x:v>普通男女装</x:v>
      </x:c>
      <x:c r="Q480" s="9" t="str">
        <x:v>W_SKIRTS_AVGPAID_1700_1800_ANNUAL2026.xlsx</x:v>
      </x:c>
      <x:c r="R480" s="9" t="str">
        <x:v>默认</x:v>
      </x:c>
      <x:c r="S480" s="9" t="n">
        <x:v>476</x:v>
      </x:c>
      <x:c r="T480" s="9" t="str">
        <x:v>c25ed77c53c7c5cfcf728778a0e9b297d8689503f62756a939cbd534ca9b587a</x:v>
      </x:c>
      <x:c r="U480" s="9" t="str">
        <x:v>W_SKIRTS_AVGPAID_1700_1800_ANNUAL2026</x:v>
      </x:c>
      <x:c r="V480" s="9" t="str">
        <x:v>W_SKIRTS_AVGPAID_1700_1800_ANNUAL2026.xlsx / 默认 / 第476行 / SHA256 c25ed77c53c7c5cfcf728778a0e9b297d8689503f62756a939cbd534ca9b587a</x:v>
      </x:c>
    </x:row>
    <x:row r="481" ht="58" customHeight="1">
      <x:c r="A481" s="23" t="str">
        <x:v>988995447927</x:v>
      </x:c>
      <x:c r="B481" s="22"/>
      <x:c r="C481" s="22"/>
      <x:c r="D481" s="22"/>
      <x:c r="E481" s="9" t="str">
        <x:v>裙长未明确</x:v>
      </x:c>
      <x:c r="F481" s="9" t="str">
        <x:v>裙装</x:v>
      </x:c>
      <x:c r="G481" s="9" t="str">
        <x:v>半身裙</x:v>
      </x:c>
      <x:c r="H481" s="9" t="str">
        <x:v>女</x:v>
      </x:c>
      <x:c r="I481" s="9" t="str">
        <x:v>KARL LAGERFELD简约易搭女士针织半身裙冬季女装老佛爷</x:v>
      </x:c>
      <x:c r="J481" s="9" t="str">
        <x:v>KARL LAGERFELD</x:v>
      </x:c>
      <x:c r="K481" s="24" t="n">
        <x:v>1314.3</x:v>
      </x:c>
      <x:c r="L481" s="25" t="e">
        <x:f>HYPERLINK("https://item.taobao.com/item.htm?id=988995447927","打开商品")</x:f>
        <x:v>HYPERLINK is not implemented. linkLocation=https://item.taobao.com/item.htm?id=988995447927, friendlyName=打开商品</x:v>
      </x:c>
      <x:c r="M481" s="25" t="e">
        <x:f>HYPERLINK("https://data.zhiyitech.cn/itemDetail/overview/base?itemId=988995447927","打开知衣")</x:f>
        <x:v>HYPERLINK is not implemented. linkLocation=https://data.zhiyitech.cn/itemDetail/overview/base?itemId=988995447927, friendlyName=打开知衣</x:v>
      </x:c>
      <x:c r="N481" s="25" t="e">
        <x:f>HYPERLINK("https://img.alicdn.com/bao/uploaded/i3/2207464337589/O1CN01PHbTTG25vosAb1XqX_!!2207464337589.jpg","查看主图")</x:f>
        <x:v>HYPERLINK is not implemented. linkLocation=https://img.alicdn.com/bao/uploaded/i3/2207464337589/O1CN01PHbTTG25vosAb1XqX_!!2207464337589.jpg, friendlyName=查看主图</x:v>
      </x:c>
      <x:c r="O481" s="9" t="str">
        <x:v>标题及既有类目语义复核；KARL LAGERFELD简约易搭女士针织半身裙冬季女装老佛爷；原类目及标题已能确认半身裙；展示使用已知大类，未知裙长下沉到结构字段，不强猜长短。</x:v>
      </x:c>
      <x:c r="P481" s="9" t="str">
        <x:v>普通男女装</x:v>
      </x:c>
      <x:c r="Q481" s="9" t="str">
        <x:v>W_SKIRTS_AVGPAID_1300_1400_ANNUAL2026.xlsx</x:v>
      </x:c>
      <x:c r="R481" s="9" t="str">
        <x:v>默认</x:v>
      </x:c>
      <x:c r="S481" s="9" t="n">
        <x:v>485</x:v>
      </x:c>
      <x:c r="T481" s="9" t="str">
        <x:v>bd4dae1e08e9eca7ddd0669235bf59107cdc418b9c2898fc16f36a7ab5748692</x:v>
      </x:c>
      <x:c r="U481" s="9" t="str">
        <x:v>W_SKIRTS_AVGPAID_1300_1400_ANNUAL2026</x:v>
      </x:c>
      <x:c r="V481" s="9" t="str">
        <x:v>W_SKIRTS_AVGPAID_1300_1400_ANNUAL2026.xlsx / 默认 / 第485行 / SHA256 bd4dae1e08e9eca7ddd0669235bf59107cdc418b9c2898fc16f36a7ab5748692</x:v>
      </x:c>
    </x:row>
    <x:row r="482" ht="58" customHeight="1">
      <x:c r="A482" s="23" t="str">
        <x:v>1070799009503</x:v>
      </x:c>
      <x:c r="B482" s="22"/>
      <x:c r="C482" s="22"/>
      <x:c r="D482" s="22"/>
      <x:c r="E482" s="9" t="str">
        <x:v>裙长未明确</x:v>
      </x:c>
      <x:c r="F482" s="9" t="str">
        <x:v>裙装</x:v>
      </x:c>
      <x:c r="G482" s="9" t="str">
        <x:v>半身裙</x:v>
      </x:c>
      <x:c r="H482" s="9" t="str">
        <x:v>女</x:v>
      </x:c>
      <x:c r="I482" s="9" t="str">
        <x:v>开间/新西兰进口Y*L同源无涂轻蜡自然缩纹羔羊皮 小鱼尾真皮半裙</x:v>
      </x:c>
      <x:c r="J482" s="9" t="str">
        <x:v>KEIGAN/开间</x:v>
      </x:c>
      <x:c r="K482" s="24" t="n">
        <x:v>1538.33</x:v>
      </x:c>
      <x:c r="L482" s="25" t="e">
        <x:f>HYPERLINK("https://item.taobao.com/item.htm?id=1070799009503","打开商品")</x:f>
        <x:v>HYPERLINK is not implemented. linkLocation=https://item.taobao.com/item.htm?id=1070799009503, friendlyName=打开商品</x:v>
      </x:c>
      <x:c r="M482" s="25" t="e">
        <x:f>HYPERLINK("https://data.zhiyitech.cn/itemDetail/overview/base?itemId=1070799009503","打开知衣")</x:f>
        <x:v>HYPERLINK is not implemented. linkLocation=https://data.zhiyitech.cn/itemDetail/overview/base?itemId=1070799009503, friendlyName=打开知衣</x:v>
      </x:c>
      <x:c r="N482" s="25" t="e">
        <x:f>HYPERLINK("https://img.alicdn.com/bao/uploaded/i2/356638239/O1CN01MVh0ZOw03vD2vH2e_!!356638239.jpg","查看主图")</x:f>
        <x:v>HYPERLINK is not implemented. linkLocation=https://img.alicdn.com/bao/uploaded/i2/356638239/O1CN01MVh0ZOw03vD2vH2e_!!356638239.jpg, friendlyName=查看主图</x:v>
      </x:c>
      <x:c r="O482" s="9" t="str">
        <x:v>标题及既有类目语义复核；开间/新西兰进口Y*L同源无涂轻蜡自然缩纹羔羊皮 小鱼尾真皮半裙；原类目及标题已能确认半身裙；展示使用已知大类，未知裙长下沉到结构字段，不强猜长短。</x:v>
      </x:c>
      <x:c r="P482" s="9" t="str">
        <x:v>普通男女装</x:v>
      </x:c>
      <x:c r="Q482" s="9" t="str">
        <x:v>W_SKIRTS_AVGPAID_1500_1600_ANNUAL2026.xlsx</x:v>
      </x:c>
      <x:c r="R482" s="9" t="str">
        <x:v>默认</x:v>
      </x:c>
      <x:c r="S482" s="9" t="n">
        <x:v>93</x:v>
      </x:c>
      <x:c r="T482" s="9" t="str">
        <x:v>deede8b56943df4f914be45dba170f12e69064023d6ef0e88dbde1764f6ba23e</x:v>
      </x:c>
      <x:c r="U482" s="9" t="str">
        <x:v>W_SKIRTS_AVGPAID_1500_1600_ANNUAL2026</x:v>
      </x:c>
      <x:c r="V482" s="9" t="str">
        <x:v>W_SKIRTS_AVGPAID_1500_1600_ANNUAL2026.xlsx / 默认 / 第93行 / SHA256 deede8b56943df4f914be45dba170f12e69064023d6ef0e88dbde1764f6ba23e</x:v>
      </x:c>
    </x:row>
    <x:row r="483" ht="58" customHeight="1">
      <x:c r="A483" s="23" t="str">
        <x:v>1082641009758</x:v>
      </x:c>
      <x:c r="B483" s="22"/>
      <x:c r="C483" s="22"/>
      <x:c r="D483" s="22"/>
      <x:c r="E483" s="9" t="str">
        <x:v>裙长未明确</x:v>
      </x:c>
      <x:c r="F483" s="9" t="str">
        <x:v>裙装</x:v>
      </x:c>
      <x:c r="G483" s="9" t="str">
        <x:v>半身裙</x:v>
      </x:c>
      <x:c r="H483" s="9" t="str">
        <x:v>女</x:v>
      </x:c>
      <x:c r="I483" s="9" t="str">
        <x:v>开间/摩登时装 自然抓皱水洗雾化植鞣绵羊皮 佰搭A字扭扭皮半裙</x:v>
      </x:c>
      <x:c r="J483" s="9" t="str">
        <x:v>KEIGAN/开间</x:v>
      </x:c>
      <x:c r="K483" s="24" t="n">
        <x:v>1547.57</x:v>
      </x:c>
      <x:c r="L483" s="25" t="e">
        <x:f>HYPERLINK("https://item.taobao.com/item.htm?id=1082641009758","打开商品")</x:f>
        <x:v>HYPERLINK is not implemented. linkLocation=https://item.taobao.com/item.htm?id=1082641009758, friendlyName=打开商品</x:v>
      </x:c>
      <x:c r="M483" s="25" t="e">
        <x:f>HYPERLINK("https://data.zhiyitech.cn/itemDetail/overview/base?itemId=1082641009758","打开知衣")</x:f>
        <x:v>HYPERLINK is not implemented. linkLocation=https://data.zhiyitech.cn/itemDetail/overview/base?itemId=1082641009758, friendlyName=打开知衣</x:v>
      </x:c>
      <x:c r="N483" s="25" t="e">
        <x:f>HYPERLINK("https://img.alicdn.com/bao/uploaded/i4/356638239/O1CN01lsn1jwEAIwC2vH2e_!!356638239.jpg","查看主图")</x:f>
        <x:v>HYPERLINK is not implemented. linkLocation=https://img.alicdn.com/bao/uploaded/i4/356638239/O1CN01lsn1jwEAIwC2vH2e_!!356638239.jpg, friendlyName=查看主图</x:v>
      </x:c>
      <x:c r="O483" s="9" t="str">
        <x:v>标题及既有类目语义复核；开间/摩登时装 自然抓皱水洗雾化植鞣绵羊皮 佰搭A字扭扭皮半裙；原类目及标题已能确认半身裙；展示使用已知大类，未知裙长下沉到结构字段，不强猜长短。</x:v>
      </x:c>
      <x:c r="P483" s="9" t="str">
        <x:v>普通男女装</x:v>
      </x:c>
      <x:c r="Q483" s="9" t="str">
        <x:v>W_SKIRTS_AVGPAID_1500_1600_ANNUAL2026.xlsx</x:v>
      </x:c>
      <x:c r="R483" s="9" t="str">
        <x:v>默认</x:v>
      </x:c>
      <x:c r="S483" s="9" t="n">
        <x:v>28</x:v>
      </x:c>
      <x:c r="T483" s="9" t="str">
        <x:v>deede8b56943df4f914be45dba170f12e69064023d6ef0e88dbde1764f6ba23e</x:v>
      </x:c>
      <x:c r="U483" s="9" t="str">
        <x:v>W_SKIRTS_AVGPAID_1500_1600_ANNUAL2026</x:v>
      </x:c>
      <x:c r="V483" s="9" t="str">
        <x:v>W_SKIRTS_AVGPAID_1500_1600_ANNUAL2026.xlsx / 默认 / 第28行 / SHA256 deede8b56943df4f914be45dba170f12e69064023d6ef0e88dbde1764f6ba23e</x:v>
      </x:c>
    </x:row>
    <x:row r="484" ht="58" customHeight="1">
      <x:c r="A484" s="23" t="str">
        <x:v>1085076513099</x:v>
      </x:c>
      <x:c r="B484" s="22"/>
      <x:c r="C484" s="22"/>
      <x:c r="D484" s="22"/>
      <x:c r="E484" s="9" t="str">
        <x:v>裙长未明确</x:v>
      </x:c>
      <x:c r="F484" s="9" t="str">
        <x:v>裙装</x:v>
      </x:c>
      <x:c r="G484" s="9" t="str">
        <x:v>半身裙</x:v>
      </x:c>
      <x:c r="H484" s="9" t="str">
        <x:v>女</x:v>
      </x:c>
      <x:c r="I484" s="9" t="str">
        <x:v>KEIGAN/开间摩登时装自然抓皱水洗雾化植鞣绵羊皮A字扭扭皮半裙</x:v>
      </x:c>
      <x:c r="J484" s="9" t="str">
        <x:v>KEIGAN/开间</x:v>
      </x:c>
      <x:c r="K484" s="24" t="n">
        <x:v>1543.57</x:v>
      </x:c>
      <x:c r="L484" s="25" t="e">
        <x:f>HYPERLINK("https://item.taobao.com/item.htm?id=1085076513099","打开商品")</x:f>
        <x:v>HYPERLINK is not implemented. linkLocation=https://item.taobao.com/item.htm?id=1085076513099, friendlyName=打开商品</x:v>
      </x:c>
      <x:c r="M484" s="25" t="e">
        <x:f>HYPERLINK("https://data.zhiyitech.cn/itemDetail/overview/base?itemId=1085076513099","打开知衣")</x:f>
        <x:v>HYPERLINK is not implemented. linkLocation=https://data.zhiyitech.cn/itemDetail/overview/base?itemId=1085076513099, friendlyName=打开知衣</x:v>
      </x:c>
      <x:c r="N484" s="25" t="e">
        <x:f>HYPERLINK("https://img.alicdn.com/bao/uploaded/i3/2217900990518/O1CN01a1N5ZuMBNZL2vH2e_!!2217900990518.jpg","查看主图")</x:f>
        <x:v>HYPERLINK is not implemented. linkLocation=https://img.alicdn.com/bao/uploaded/i3/2217900990518/O1CN01a1N5ZuMBNZL2vH2e_!!2217900990518.jpg, friendlyName=查看主图</x:v>
      </x:c>
      <x:c r="O484" s="9" t="str">
        <x:v>标题及既有类目语义复核；KEIGAN/开间摩登时装自然抓皱水洗雾化植鞣绵羊皮A字扭扭皮半裙；原类目及标题已能确认半身裙；展示使用已知大类，未知裙长下沉到结构字段，不强猜长短。</x:v>
      </x:c>
      <x:c r="P484" s="9" t="str">
        <x:v>普通男女装</x:v>
      </x:c>
      <x:c r="Q484" s="9" t="str">
        <x:v>W_SKIRTS_AVGPAID_1500_1600_ANNUAL2026.xlsx</x:v>
      </x:c>
      <x:c r="R484" s="9" t="str">
        <x:v>默认</x:v>
      </x:c>
      <x:c r="S484" s="9" t="n">
        <x:v>223</x:v>
      </x:c>
      <x:c r="T484" s="9" t="str">
        <x:v>deede8b56943df4f914be45dba170f12e69064023d6ef0e88dbde1764f6ba23e</x:v>
      </x:c>
      <x:c r="U484" s="9" t="str">
        <x:v>W_SKIRTS_AVGPAID_1500_1600_ANNUAL2026</x:v>
      </x:c>
      <x:c r="V484" s="9" t="str">
        <x:v>W_SKIRTS_AVGPAID_1500_1600_ANNUAL2026.xlsx / 默认 / 第223行 / SHA256 deede8b56943df4f914be45dba170f12e69064023d6ef0e88dbde1764f6ba23e</x:v>
      </x:c>
    </x:row>
    <x:row r="485" ht="58" customHeight="1">
      <x:c r="A485" s="23" t="str">
        <x:v>1092632824537</x:v>
      </x:c>
      <x:c r="B485" s="22"/>
      <x:c r="C485" s="22"/>
      <x:c r="D485" s="22"/>
      <x:c r="E485" s="9" t="str">
        <x:v>裙长未明确</x:v>
      </x:c>
      <x:c r="F485" s="9" t="str">
        <x:v>裙装</x:v>
      </x:c>
      <x:c r="G485" s="9" t="str">
        <x:v>半身裙</x:v>
      </x:c>
      <x:c r="H485" s="9" t="str">
        <x:v>女</x:v>
      </x:c>
      <x:c r="I485" s="9" t="str">
        <x:v>开间黑标/意大利VBC法兰绒定纺混色羊毛羊绒 R0W中腰A摆百褶半裙</x:v>
      </x:c>
      <x:c r="J485" s="9" t="str">
        <x:v>KEIGAN/开间</x:v>
      </x:c>
      <x:c r="K485" s="24" t="n">
        <x:v>1369.83</x:v>
      </x:c>
      <x:c r="L485" s="25" t="e">
        <x:f>HYPERLINK("https://item.taobao.com/item.htm?id=1092632824537","打开商品")</x:f>
        <x:v>HYPERLINK is not implemented. linkLocation=https://item.taobao.com/item.htm?id=1092632824537, friendlyName=打开商品</x:v>
      </x:c>
      <x:c r="M485" s="25" t="e">
        <x:f>HYPERLINK("https://data.zhiyitech.cn/itemDetail/overview/base?itemId=1092632824537","打开知衣")</x:f>
        <x:v>HYPERLINK is not implemented. linkLocation=https://data.zhiyitech.cn/itemDetail/overview/base?itemId=1092632824537, friendlyName=打开知衣</x:v>
      </x:c>
      <x:c r="N485" s="25" t="e">
        <x:f>HYPERLINK("https://img.alicdn.com/bao/uploaded/i4/356638239/O1CN018kNybrAbZ9K2vH2e_!!356638239.jpg","查看主图")</x:f>
        <x:v>HYPERLINK is not implemented. linkLocation=https://img.alicdn.com/bao/uploaded/i4/356638239/O1CN018kNybrAbZ9K2vH2e_!!356638239.jpg, friendlyName=查看主图</x:v>
      </x:c>
      <x:c r="O485" s="9" t="str">
        <x:v>标题及既有类目语义复核；开间黑标/意大利VBC法兰绒定纺混色羊毛羊绒 R0W中腰A摆百褶半裙；原类目及标题已能确认半身裙；展示使用已知大类，未知裙长下沉到结构字段，不强猜长短。</x:v>
      </x:c>
      <x:c r="P485" s="9" t="str">
        <x:v>普通男女装</x:v>
      </x:c>
      <x:c r="Q485" s="9" t="str">
        <x:v>W_SKIRTS_AVGPAID_1300_1400_ANNUAL2026.xlsx</x:v>
      </x:c>
      <x:c r="R485" s="9" t="str">
        <x:v>默认</x:v>
      </x:c>
      <x:c r="S485" s="9" t="n">
        <x:v>127</x:v>
      </x:c>
      <x:c r="T485" s="9" t="str">
        <x:v>bd4dae1e08e9eca7ddd0669235bf59107cdc418b9c2898fc16f36a7ab5748692</x:v>
      </x:c>
      <x:c r="U485" s="9" t="str">
        <x:v>W_SKIRTS_AVGPAID_1300_1400_ANNUAL2026</x:v>
      </x:c>
      <x:c r="V485" s="9" t="str">
        <x:v>W_SKIRTS_AVGPAID_1300_1400_ANNUAL2026.xlsx / 默认 / 第127行 / SHA256 bd4dae1e08e9eca7ddd0669235bf59107cdc418b9c2898fc16f36a7ab5748692</x:v>
      </x:c>
    </x:row>
    <x:row r="486" ht="58" customHeight="1">
      <x:c r="A486" s="23" t="str">
        <x:v>895170345736</x:v>
      </x:c>
      <x:c r="B486" s="22"/>
      <x:c r="C486" s="22"/>
      <x:c r="D486" s="22"/>
      <x:c r="E486" s="9" t="str">
        <x:v>裙长未明确</x:v>
      </x:c>
      <x:c r="F486" s="9" t="str">
        <x:v>裙装</x:v>
      </x:c>
      <x:c r="G486" s="9" t="str">
        <x:v>半身裙</x:v>
      </x:c>
      <x:c r="H486" s="9" t="str">
        <x:v>女</x:v>
      </x:c>
      <x:c r="I486" s="9" t="str">
        <x:v>开间黑标/法国进口LESAGE&amp;英国进口LINTON 格纹粗花呢低腰A字半裙</x:v>
      </x:c>
      <x:c r="J486" s="9" t="str">
        <x:v>KEIGAN/开间</x:v>
      </x:c>
      <x:c r="K486" s="24" t="n">
        <x:v>1301.93</x:v>
      </x:c>
      <x:c r="L486" s="25" t="e">
        <x:f>HYPERLINK("https://item.taobao.com/item.htm?id=895170345736","打开商品")</x:f>
        <x:v>HYPERLINK is not implemented. linkLocation=https://item.taobao.com/item.htm?id=895170345736, friendlyName=打开商品</x:v>
      </x:c>
      <x:c r="M486" s="25" t="e">
        <x:f>HYPERLINK("https://data.zhiyitech.cn/itemDetail/overview/base?itemId=895170345736","打开知衣")</x:f>
        <x:v>HYPERLINK is not implemented. linkLocation=https://data.zhiyitech.cn/itemDetail/overview/base?itemId=895170345736, friendlyName=打开知衣</x:v>
      </x:c>
      <x:c r="N486" s="25" t="e">
        <x:f>HYPERLINK("https://img.alicdn.com/bao/uploaded/i4/356638239/O1CN01dQpHIK2AjWE2Pz153_!!356638239.jpg","查看主图")</x:f>
        <x:v>HYPERLINK is not implemented. linkLocation=https://img.alicdn.com/bao/uploaded/i4/356638239/O1CN01dQpHIK2AjWE2Pz153_!!356638239.jpg, friendlyName=查看主图</x:v>
      </x:c>
      <x:c r="O486" s="9" t="str">
        <x:v>标题及既有类目语义复核；开间黑标/法国进口LESAGE&amp;英国进口LINTON 格纹粗花呢低腰A字半裙；原类目及标题已能确认半身裙；展示使用已知大类，未知裙长下沉到结构字段，不强猜长短。</x:v>
      </x:c>
      <x:c r="P486" s="9" t="str">
        <x:v>普通男女装</x:v>
      </x:c>
      <x:c r="Q486" s="9" t="str">
        <x:v>W_SKIRTS_AVGPAID_1300_1400_ANNUAL2026.xlsx</x:v>
      </x:c>
      <x:c r="R486" s="9" t="str">
        <x:v>默认</x:v>
      </x:c>
      <x:c r="S486" s="9" t="n">
        <x:v>390</x:v>
      </x:c>
      <x:c r="T486" s="9" t="str">
        <x:v>bd4dae1e08e9eca7ddd0669235bf59107cdc418b9c2898fc16f36a7ab5748692</x:v>
      </x:c>
      <x:c r="U486" s="9" t="str">
        <x:v>W_SKIRTS_AVGPAID_1300_1400_ANNUAL2026</x:v>
      </x:c>
      <x:c r="V486" s="9" t="str">
        <x:v>W_SKIRTS_AVGPAID_1300_1400_ANNUAL2026.xlsx / 默认 / 第390行 / SHA256 bd4dae1e08e9eca7ddd0669235bf59107cdc418b9c2898fc16f36a7ab5748692</x:v>
      </x:c>
    </x:row>
    <x:row r="487" ht="58" customHeight="1">
      <x:c r="A487" s="23" t="str">
        <x:v>943195675366</x:v>
      </x:c>
      <x:c r="B487" s="22"/>
      <x:c r="C487" s="22"/>
      <x:c r="D487" s="22"/>
      <x:c r="E487" s="9" t="str">
        <x:v>裙长未明确</x:v>
      </x:c>
      <x:c r="F487" s="9" t="str">
        <x:v>裙装</x:v>
      </x:c>
      <x:c r="G487" s="9" t="str">
        <x:v>半身裙</x:v>
      </x:c>
      <x:c r="H487" s="9" t="str">
        <x:v>女</x:v>
      </x:c>
      <x:c r="I487" s="9" t="str">
        <x:v>klee klee简约亚麻蓝布半裙</x:v>
      </x:c>
      <x:c r="J487" s="9" t="str">
        <x:v>KLEE KLEE</x:v>
      </x:c>
      <x:c r="K487" s="24" t="n">
        <x:v>1336.79</x:v>
      </x:c>
      <x:c r="L487" s="25" t="e">
        <x:f>HYPERLINK("https://item.taobao.com/item.htm?id=943195675366","打开商品")</x:f>
        <x:v>HYPERLINK is not implemented. linkLocation=https://item.taobao.com/item.htm?id=943195675366, friendlyName=打开商品</x:v>
      </x:c>
      <x:c r="M487" s="25" t="e">
        <x:f>HYPERLINK("https://data.zhiyitech.cn/itemDetail/overview/base?itemId=943195675366","打开知衣")</x:f>
        <x:v>HYPERLINK is not implemented. linkLocation=https://data.zhiyitech.cn/itemDetail/overview/base?itemId=943195675366, friendlyName=打开知衣</x:v>
      </x:c>
      <x:c r="N487" s="25" t="e">
        <x:f>HYPERLINK("https://img.alicdn.com/bao/uploaded/i2/2185325717/O1CN01WgDwtEZrFjG1chua_!!2185325717.jpg","查看主图")</x:f>
        <x:v>HYPERLINK is not implemented. linkLocation=https://img.alicdn.com/bao/uploaded/i2/2185325717/O1CN01WgDwtEZrFjG1chua_!!2185325717.jpg, friendlyName=查看主图</x:v>
      </x:c>
      <x:c r="O487" s="9" t="str">
        <x:v>标题及既有类目语义复核；klee klee简约亚麻蓝布半裙；原类目及标题已能确认半身裙；展示使用已知大类，未知裙长下沉到结构字段，不强猜长短。</x:v>
      </x:c>
      <x:c r="P487" s="9" t="str">
        <x:v>普通男女装</x:v>
      </x:c>
      <x:c r="Q487" s="9" t="str">
        <x:v>W_SKIRTS_AVGPAID_1300_1400_ANNUAL2026.xlsx</x:v>
      </x:c>
      <x:c r="R487" s="9" t="str">
        <x:v>默认</x:v>
      </x:c>
      <x:c r="S487" s="9" t="n">
        <x:v>215</x:v>
      </x:c>
      <x:c r="T487" s="9" t="str">
        <x:v>bd4dae1e08e9eca7ddd0669235bf59107cdc418b9c2898fc16f36a7ab5748692</x:v>
      </x:c>
      <x:c r="U487" s="9" t="str">
        <x:v>W_SKIRTS_AVGPAID_1300_1400_ANNUAL2026</x:v>
      </x:c>
      <x:c r="V487" s="9" t="str">
        <x:v>W_SKIRTS_AVGPAID_1300_1400_ANNUAL2026.xlsx / 默认 / 第215行 / SHA256 bd4dae1e08e9eca7ddd0669235bf59107cdc418b9c2898fc16f36a7ab5748692</x:v>
      </x:c>
    </x:row>
    <x:row r="488" ht="58" customHeight="1">
      <x:c r="A488" s="23" t="str">
        <x:v>944242277321</x:v>
      </x:c>
      <x:c r="B488" s="22"/>
      <x:c r="C488" s="22"/>
      <x:c r="D488" s="22"/>
      <x:c r="E488" s="9" t="str">
        <x:v>裙长未明确</x:v>
      </x:c>
      <x:c r="F488" s="9" t="str">
        <x:v>裙装</x:v>
      </x:c>
      <x:c r="G488" s="9" t="str">
        <x:v>半身裙</x:v>
      </x:c>
      <x:c r="H488" s="9" t="str">
        <x:v>女</x:v>
      </x:c>
      <x:c r="I488" s="9" t="str">
        <x:v>素然klee klee 秋季女士环保棉复古简约丝棉直身裹裙</x:v>
      </x:c>
      <x:c r="J488" s="9" t="str">
        <x:v>KLEE KLEE</x:v>
      </x:c>
      <x:c r="K488" s="24" t="n">
        <x:v>1514.2</x:v>
      </x:c>
      <x:c r="L488" s="25" t="e">
        <x:f>HYPERLINK("https://item.taobao.com/item.htm?id=944242277321","打开商品")</x:f>
        <x:v>HYPERLINK is not implemented. linkLocation=https://item.taobao.com/item.htm?id=944242277321, friendlyName=打开商品</x:v>
      </x:c>
      <x:c r="M488" s="25" t="e">
        <x:f>HYPERLINK("https://data.zhiyitech.cn/itemDetail/overview/base?itemId=944242277321","打开知衣")</x:f>
        <x:v>HYPERLINK is not implemented. linkLocation=https://data.zhiyitech.cn/itemDetail/overview/base?itemId=944242277321, friendlyName=打开知衣</x:v>
      </x:c>
      <x:c r="N488" s="25" t="e">
        <x:f>HYPERLINK("https://img.alicdn.com/bao/uploaded/i4/2185325717/O1CN01GXR6xzpB9YI1chua_!!2185325717.jpg","查看主图")</x:f>
        <x:v>HYPERLINK is not implemented. linkLocation=https://img.alicdn.com/bao/uploaded/i4/2185325717/O1CN01GXR6xzpB9YI1chua_!!2185325717.jpg, friendlyName=查看主图</x:v>
      </x:c>
      <x:c r="O488" s="9" t="str">
        <x:v>标题及既有类目语义复核；素然klee klee 秋季女士环保棉复古简约丝棉直身裹裙；原类目及标题已能确认半身裙；展示使用已知大类，未知裙长下沉到结构字段，不强猜长短。</x:v>
      </x:c>
      <x:c r="P488" s="9" t="str">
        <x:v>普通男女装</x:v>
      </x:c>
      <x:c r="Q488" s="9" t="str">
        <x:v>W_SKIRTS_AVGPAID_1500_1600_ANNUAL2026.xlsx</x:v>
      </x:c>
      <x:c r="R488" s="9" t="str">
        <x:v>默认</x:v>
      </x:c>
      <x:c r="S488" s="9" t="n">
        <x:v>473</x:v>
      </x:c>
      <x:c r="T488" s="9" t="str">
        <x:v>deede8b56943df4f914be45dba170f12e69064023d6ef0e88dbde1764f6ba23e</x:v>
      </x:c>
      <x:c r="U488" s="9" t="str">
        <x:v>W_SKIRTS_AVGPAID_1500_1600_ANNUAL2026</x:v>
      </x:c>
      <x:c r="V488" s="9" t="str">
        <x:v>W_SKIRTS_AVGPAID_1500_1600_ANNUAL2026.xlsx / 默认 / 第473行 / SHA256 deede8b56943df4f914be45dba170f12e69064023d6ef0e88dbde1764f6ba23e</x:v>
      </x:c>
    </x:row>
    <x:row r="489" ht="58" customHeight="1">
      <x:c r="A489" s="23" t="str">
        <x:v>1064535509447</x:v>
      </x:c>
      <x:c r="B489" s="22"/>
      <x:c r="C489" s="22"/>
      <x:c r="D489" s="22"/>
      <x:c r="E489" s="9" t="str">
        <x:v>裙长未明确</x:v>
      </x:c>
      <x:c r="F489" s="9" t="str">
        <x:v>裙装</x:v>
      </x:c>
      <x:c r="G489" s="9" t="str">
        <x:v>半身裙</x:v>
      </x:c>
      <x:c r="H489" s="9" t="str">
        <x:v>女</x:v>
      </x:c>
      <x:c r="I489" s="9" t="str">
        <x:v>珂思美利奴羊毛格纹半身裙</x:v>
      </x:c>
      <x:c r="J489" s="9" t="str">
        <x:v>KORADIOR ELSEWHERE/珂思</x:v>
      </x:c>
      <x:c r="K489" s="24" t="n">
        <x:v>1569.09</x:v>
      </x:c>
      <x:c r="L489" s="25" t="e">
        <x:f>HYPERLINK("https://item.taobao.com/item.htm?id=1064535509447","打开商品")</x:f>
        <x:v>HYPERLINK is not implemented. linkLocation=https://item.taobao.com/item.htm?id=1064535509447, friendlyName=打开商品</x:v>
      </x:c>
      <x:c r="M489" s="25" t="e">
        <x:f>HYPERLINK("https://data.zhiyitech.cn/itemDetail/overview/base?itemId=1064535509447","打开知衣")</x:f>
        <x:v>HYPERLINK is not implemented. linkLocation=https://data.zhiyitech.cn/itemDetail/overview/base?itemId=1064535509447, friendlyName=打开知衣</x:v>
      </x:c>
      <x:c r="N489" s="25" t="e">
        <x:f>HYPERLINK("https://img.alicdn.com/bao/uploaded/i4/2777772969/O1CN01yZfFlVE8ksH2vH2e_!!2777772969.jpg","查看主图")</x:f>
        <x:v>HYPERLINK is not implemented. linkLocation=https://img.alicdn.com/bao/uploaded/i4/2777772969/O1CN01yZfFlVE8ksH2vH2e_!!2777772969.jpg, friendlyName=查看主图</x:v>
      </x:c>
      <x:c r="O489" s="9" t="str">
        <x:v>标题及既有类目语义复核；珂思美利奴羊毛格纹半身裙；原类目及标题已能确认半身裙；展示使用已知大类，未知裙长下沉到结构字段，不强猜长短。</x:v>
      </x:c>
      <x:c r="P489" s="9" t="str">
        <x:v>普通男女装</x:v>
      </x:c>
      <x:c r="Q489" s="9" t="str">
        <x:v>W_SKIRTS_AVGPAID_1500_1600_ANNUAL2026.xlsx</x:v>
      </x:c>
      <x:c r="R489" s="9" t="str">
        <x:v>默认</x:v>
      </x:c>
      <x:c r="S489" s="9" t="n">
        <x:v>320</x:v>
      </x:c>
      <x:c r="T489" s="9" t="str">
        <x:v>deede8b56943df4f914be45dba170f12e69064023d6ef0e88dbde1764f6ba23e</x:v>
      </x:c>
      <x:c r="U489" s="9" t="str">
        <x:v>W_SKIRTS_AVGPAID_1500_1600_ANNUAL2026</x:v>
      </x:c>
      <x:c r="V489" s="9" t="str">
        <x:v>W_SKIRTS_AVGPAID_1500_1600_ANNUAL2026.xlsx / 默认 / 第320行 / SHA256 deede8b56943df4f914be45dba170f12e69064023d6ef0e88dbde1764f6ba23e</x:v>
      </x:c>
    </x:row>
    <x:row r="490" ht="58" customHeight="1">
      <x:c r="A490" s="23" t="str">
        <x:v>1006966551649</x:v>
      </x:c>
      <x:c r="B490" s="22"/>
      <x:c r="C490" s="22"/>
      <x:c r="D490" s="22"/>
      <x:c r="E490" s="9" t="str">
        <x:v>裙长未明确</x:v>
      </x:c>
      <x:c r="F490" s="9" t="str">
        <x:v>裙装</x:v>
      </x:c>
      <x:c r="G490" s="9" t="str">
        <x:v>半身裙</x:v>
      </x:c>
      <x:c r="H490" s="9" t="str">
        <x:v>女</x:v>
      </x:c>
      <x:c r="I490" s="9" t="str">
        <x:v>Koradior珂莱蒂尔2026春季新款气质精致蝴蝶玫瑰刺绣印花半身裙女</x:v>
      </x:c>
      <x:c r="J490" s="9" t="str">
        <x:v>KORADIOR/珂莱蒂尔</x:v>
      </x:c>
      <x:c r="K490" s="24" t="n">
        <x:v>1762.2</x:v>
      </x:c>
      <x:c r="L490" s="25" t="e">
        <x:f>HYPERLINK("https://item.taobao.com/item.htm?id=1006966551649","打开商品")</x:f>
        <x:v>HYPERLINK is not implemented. linkLocation=https://item.taobao.com/item.htm?id=1006966551649, friendlyName=打开商品</x:v>
      </x:c>
      <x:c r="M490" s="25" t="e">
        <x:f>HYPERLINK("https://data.zhiyitech.cn/itemDetail/overview/base?itemId=1006966551649","打开知衣")</x:f>
        <x:v>HYPERLINK is not implemented. linkLocation=https://data.zhiyitech.cn/itemDetail/overview/base?itemId=1006966551649, friendlyName=打开知衣</x:v>
      </x:c>
      <x:c r="N490" s="25" t="e">
        <x:f>HYPERLINK("https://img.alicdn.com/bao/uploaded/i1/2216420997155/O1CN01Io33oX7EL0K1chua-2216420997155.jpg","查看主图")</x:f>
        <x:v>HYPERLINK is not implemented. linkLocation=https://img.alicdn.com/bao/uploaded/i1/2216420997155/O1CN01Io33oX7EL0K1chua-2216420997155.jpg, friendlyName=查看主图</x:v>
      </x:c>
      <x:c r="O490" s="9" t="str">
        <x:v>标题及既有类目语义复核；Koradior珂莱蒂尔2026春季新款气质精致蝴蝶玫瑰刺绣印花半身裙女；原类目及标题已能确认半身裙；展示使用已知大类，未知裙长下沉到结构字段，不强猜长短。</x:v>
      </x:c>
      <x:c r="P490" s="9" t="str">
        <x:v>普通男女装</x:v>
      </x:c>
      <x:c r="Q490" s="9" t="str">
        <x:v>W_SKIRTS_AVGPAID_1700_1800_ANNUAL2026.xlsx</x:v>
      </x:c>
      <x:c r="R490" s="9" t="str">
        <x:v>默认</x:v>
      </x:c>
      <x:c r="S490" s="9" t="n">
        <x:v>145</x:v>
      </x:c>
      <x:c r="T490" s="9" t="str">
        <x:v>c25ed77c53c7c5cfcf728778a0e9b297d8689503f62756a939cbd534ca9b587a</x:v>
      </x:c>
      <x:c r="U490" s="9" t="str">
        <x:v>W_SKIRTS_AVGPAID_1700_1800_ANNUAL2026</x:v>
      </x:c>
      <x:c r="V490" s="9" t="str">
        <x:v>W_SKIRTS_AVGPAID_1700_1800_ANNUAL2026.xlsx / 默认 / 第145行 / SHA256 c25ed77c53c7c5cfcf728778a0e9b297d8689503f62756a939cbd534ca9b587a</x:v>
      </x:c>
    </x:row>
    <x:row r="491" ht="58" customHeight="1">
      <x:c r="A491" s="23" t="str">
        <x:v>1024203671165</x:v>
      </x:c>
      <x:c r="B491" s="22"/>
      <x:c r="C491" s="22"/>
      <x:c r="D491" s="22"/>
      <x:c r="E491" s="9" t="str">
        <x:v>裙长未明确</x:v>
      </x:c>
      <x:c r="F491" s="9" t="str">
        <x:v>裙装</x:v>
      </x:c>
      <x:c r="G491" s="9" t="str">
        <x:v>半身裙</x:v>
      </x:c>
      <x:c r="H491" s="9" t="str">
        <x:v>女</x:v>
      </x:c>
      <x:c r="I491" s="9" t="str">
        <x:v>珂莱蒂尔Koradior轻软透气绞综花纱优雅香风直筒半身裙2026夏新</x:v>
      </x:c>
      <x:c r="J491" s="9" t="str">
        <x:v>KORADIOR/珂莱蒂尔</x:v>
      </x:c>
      <x:c r="K491" s="24" t="n">
        <x:v>1536.37</x:v>
      </x:c>
      <x:c r="L491" s="25" t="e">
        <x:f>HYPERLINK("https://item.taobao.com/item.htm?id=1024203671165","打开商品")</x:f>
        <x:v>HYPERLINK is not implemented. linkLocation=https://item.taobao.com/item.htm?id=1024203671165, friendlyName=打开商品</x:v>
      </x:c>
      <x:c r="M491" s="25" t="e">
        <x:f>HYPERLINK("https://data.zhiyitech.cn/itemDetail/overview/base?itemId=1024203671165","打开知衣")</x:f>
        <x:v>HYPERLINK is not implemented. linkLocation=https://data.zhiyitech.cn/itemDetail/overview/base?itemId=1024203671165, friendlyName=打开知衣</x:v>
      </x:c>
      <x:c r="N491" s="25" t="e">
        <x:f>HYPERLINK("https://img.alicdn.com/bao/uploaded/i1/2216420997155/O1CN013qVtuUC2KjB1chua-2216420997155.jpg","查看主图")</x:f>
        <x:v>HYPERLINK is not implemented. linkLocation=https://img.alicdn.com/bao/uploaded/i1/2216420997155/O1CN013qVtuUC2KjB1chua-2216420997155.jpg, friendlyName=查看主图</x:v>
      </x:c>
      <x:c r="O491" s="9" t="str">
        <x:v>标题及既有类目语义复核；珂莱蒂尔Koradior轻软透气绞综花纱优雅香风直筒半身裙2026夏新；原类目及标题已能确认半身裙；展示使用已知大类，未知裙长下沉到结构字段，不强猜长短。</x:v>
      </x:c>
      <x:c r="P491" s="9" t="str">
        <x:v>普通男女装</x:v>
      </x:c>
      <x:c r="Q491" s="9" t="str">
        <x:v>W_SKIRTS_AVGPAID_1500_1600_ANNUAL2026.xlsx</x:v>
      </x:c>
      <x:c r="R491" s="9" t="str">
        <x:v>默认</x:v>
      </x:c>
      <x:c r="S491" s="9" t="n">
        <x:v>195</x:v>
      </x:c>
      <x:c r="T491" s="9" t="str">
        <x:v>deede8b56943df4f914be45dba170f12e69064023d6ef0e88dbde1764f6ba23e</x:v>
      </x:c>
      <x:c r="U491" s="9" t="str">
        <x:v>W_SKIRTS_AVGPAID_1500_1600_ANNUAL2026</x:v>
      </x:c>
      <x:c r="V491" s="9" t="str">
        <x:v>W_SKIRTS_AVGPAID_1500_1600_ANNUAL2026.xlsx / 默认 / 第195行 / SHA256 deede8b56943df4f914be45dba170f12e69064023d6ef0e88dbde1764f6ba23e</x:v>
      </x:c>
    </x:row>
    <x:row r="492" ht="58" customHeight="1">
      <x:c r="A492" s="23" t="str">
        <x:v>1026569232635</x:v>
      </x:c>
      <x:c r="B492" s="22"/>
      <x:c r="C492" s="22"/>
      <x:c r="D492" s="22"/>
      <x:c r="E492" s="9" t="str">
        <x:v>裙长未明确</x:v>
      </x:c>
      <x:c r="F492" s="9" t="str">
        <x:v>裙装</x:v>
      </x:c>
      <x:c r="G492" s="9" t="str">
        <x:v>半身裙</x:v>
      </x:c>
      <x:c r="H492" s="9" t="str">
        <x:v>女</x:v>
      </x:c>
      <x:c r="I492" s="9" t="str">
        <x:v>珂莱蒂尔Koradior浪漫碎花度假风100棉薄款透气半身裙2026夏新款</x:v>
      </x:c>
      <x:c r="J492" s="9" t="str">
        <x:v>KORADIOR/珂莱蒂尔</x:v>
      </x:c>
      <x:c r="K492" s="24" t="n">
        <x:v>1714.13</x:v>
      </x:c>
      <x:c r="L492" s="25" t="e">
        <x:f>HYPERLINK("https://item.taobao.com/item.htm?id=1026569232635","打开商品")</x:f>
        <x:v>HYPERLINK is not implemented. linkLocation=https://item.taobao.com/item.htm?id=1026569232635, friendlyName=打开商品</x:v>
      </x:c>
      <x:c r="M492" s="25" t="e">
        <x:f>HYPERLINK("https://data.zhiyitech.cn/itemDetail/overview/base?itemId=1026569232635","打开知衣")</x:f>
        <x:v>HYPERLINK is not implemented. linkLocation=https://data.zhiyitech.cn/itemDetail/overview/base?itemId=1026569232635, friendlyName=打开知衣</x:v>
      </x:c>
      <x:c r="N492" s="25" t="e">
        <x:f>HYPERLINK("https://img.alicdn.com/bao/uploaded/i1/2216420997155/O1CN01AVE7nKbpz1I1chua-2216420997155.jpg","查看主图")</x:f>
        <x:v>HYPERLINK is not implemented. linkLocation=https://img.alicdn.com/bao/uploaded/i1/2216420997155/O1CN01AVE7nKbpz1I1chua-2216420997155.jpg, friendlyName=查看主图</x:v>
      </x:c>
      <x:c r="O492" s="9" t="str">
        <x:v>标题及既有类目语义复核；珂莱蒂尔Koradior浪漫碎花度假风100棉薄款透气半身裙2026夏新款；原类目及标题已能确认半身裙；展示使用已知大类，未知裙长下沉到结构字段，不强猜长短。</x:v>
      </x:c>
      <x:c r="P492" s="9" t="str">
        <x:v>普通男女装</x:v>
      </x:c>
      <x:c r="Q492" s="9" t="str">
        <x:v>W_SKIRTS_AVGPAID_1700_1800_ANNUAL2026.xlsx</x:v>
      </x:c>
      <x:c r="R492" s="9" t="str">
        <x:v>默认</x:v>
      </x:c>
      <x:c r="S492" s="9" t="n">
        <x:v>131</x:v>
      </x:c>
      <x:c r="T492" s="9" t="str">
        <x:v>c25ed77c53c7c5cfcf728778a0e9b297d8689503f62756a939cbd534ca9b587a</x:v>
      </x:c>
      <x:c r="U492" s="9" t="str">
        <x:v>W_SKIRTS_AVGPAID_1700_1800_ANNUAL2026</x:v>
      </x:c>
      <x:c r="V492" s="9" t="str">
        <x:v>W_SKIRTS_AVGPAID_1700_1800_ANNUAL2026.xlsx / 默认 / 第131行 / SHA256 c25ed77c53c7c5cfcf728778a0e9b297d8689503f62756a939cbd534ca9b587a</x:v>
      </x:c>
    </x:row>
    <x:row r="493" ht="58" customHeight="1">
      <x:c r="A493" s="23" t="str">
        <x:v>1027980764956</x:v>
      </x:c>
      <x:c r="B493" s="22"/>
      <x:c r="C493" s="22"/>
      <x:c r="D493" s="22"/>
      <x:c r="E493" s="9" t="str">
        <x:v>裙长未明确</x:v>
      </x:c>
      <x:c r="F493" s="9" t="str">
        <x:v>裙装</x:v>
      </x:c>
      <x:c r="G493" s="9" t="str">
        <x:v>半身裙</x:v>
      </x:c>
      <x:c r="H493" s="9" t="str">
        <x:v>女</x:v>
      </x:c>
      <x:c r="I493" s="9" t="str">
        <x:v>珂莱蒂尔Koradior商场同款气质通勤半身裙遮肉伞裙女2026夏新款</x:v>
      </x:c>
      <x:c r="J493" s="9" t="str">
        <x:v>KORADIOR/珂莱蒂尔</x:v>
      </x:c>
      <x:c r="K493" s="24" t="n">
        <x:v>1337.29</x:v>
      </x:c>
      <x:c r="L493" s="25" t="e">
        <x:f>HYPERLINK("https://item.taobao.com/item.htm?id=1027980764956","打开商品")</x:f>
        <x:v>HYPERLINK is not implemented. linkLocation=https://item.taobao.com/item.htm?id=1027980764956, friendlyName=打开商品</x:v>
      </x:c>
      <x:c r="M493" s="25" t="e">
        <x:f>HYPERLINK("https://data.zhiyitech.cn/itemDetail/overview/base?itemId=1027980764956","打开知衣")</x:f>
        <x:v>HYPERLINK is not implemented. linkLocation=https://data.zhiyitech.cn/itemDetail/overview/base?itemId=1027980764956, friendlyName=打开知衣</x:v>
      </x:c>
      <x:c r="N493" s="25" t="e">
        <x:f>HYPERLINK("https://img.alicdn.com/bao/uploaded/i1/2216420997155/O1CN010TYW7OIeJKJ1chua-2216420997155.jpg","查看主图")</x:f>
        <x:v>HYPERLINK is not implemented. linkLocation=https://img.alicdn.com/bao/uploaded/i1/2216420997155/O1CN010TYW7OIeJKJ1chua-2216420997155.jpg, friendlyName=查看主图</x:v>
      </x:c>
      <x:c r="O493" s="9" t="str">
        <x:v>标题及既有类目语义复核；珂莱蒂尔Koradior商场同款气质通勤半身裙遮肉伞裙女2026夏新款；原类目及标题已能确认半身裙；展示使用已知大类，未知裙长下沉到结构字段，不强猜长短。</x:v>
      </x:c>
      <x:c r="P493" s="9" t="str">
        <x:v>普通男女装</x:v>
      </x:c>
      <x:c r="Q493" s="9" t="str">
        <x:v>W_SKIRTS_AVGPAID_1300_1400_ANNUAL2026.xlsx</x:v>
      </x:c>
      <x:c r="R493" s="9" t="str">
        <x:v>默认</x:v>
      </x:c>
      <x:c r="S493" s="9" t="n">
        <x:v>200</x:v>
      </x:c>
      <x:c r="T493" s="9" t="str">
        <x:v>bd4dae1e08e9eca7ddd0669235bf59107cdc418b9c2898fc16f36a7ab5748692</x:v>
      </x:c>
      <x:c r="U493" s="9" t="str">
        <x:v>W_SKIRTS_AVGPAID_1300_1400_ANNUAL2026</x:v>
      </x:c>
      <x:c r="V493" s="9" t="str">
        <x:v>W_SKIRTS_AVGPAID_1300_1400_ANNUAL2026.xlsx / 默认 / 第200行 / SHA256 bd4dae1e08e9eca7ddd0669235bf59107cdc418b9c2898fc16f36a7ab5748692</x:v>
      </x:c>
    </x:row>
    <x:row r="494" ht="58" customHeight="1">
      <x:c r="A494" s="23" t="str">
        <x:v>1027981484014</x:v>
      </x:c>
      <x:c r="B494" s="22"/>
      <x:c r="C494" s="22"/>
      <x:c r="D494" s="22"/>
      <x:c r="E494" s="9" t="str">
        <x:v>裙长未明确</x:v>
      </x:c>
      <x:c r="F494" s="9" t="str">
        <x:v>裙装</x:v>
      </x:c>
      <x:c r="G494" s="9" t="str">
        <x:v>半身裙</x:v>
      </x:c>
      <x:c r="H494" s="9" t="str">
        <x:v>女</x:v>
      </x:c>
      <x:c r="I494" s="9" t="str">
        <x:v>珂莱蒂尔Koradior商场同款时尚丹宁牛仔裙伞裙A字裙女2026夏新款</x:v>
      </x:c>
      <x:c r="J494" s="9" t="str">
        <x:v>KORADIOR/珂莱蒂尔</x:v>
      </x:c>
      <x:c r="K494" s="24" t="n">
        <x:v>1360.07</x:v>
      </x:c>
      <x:c r="L494" s="25" t="e">
        <x:f>HYPERLINK("https://item.taobao.com/item.htm?id=1027981484014","打开商品")</x:f>
        <x:v>HYPERLINK is not implemented. linkLocation=https://item.taobao.com/item.htm?id=1027981484014, friendlyName=打开商品</x:v>
      </x:c>
      <x:c r="M494" s="25" t="e">
        <x:f>HYPERLINK("https://data.zhiyitech.cn/itemDetail/overview/base?itemId=1027981484014","打开知衣")</x:f>
        <x:v>HYPERLINK is not implemented. linkLocation=https://data.zhiyitech.cn/itemDetail/overview/base?itemId=1027981484014, friendlyName=打开知衣</x:v>
      </x:c>
      <x:c r="N494" s="25" t="e">
        <x:f>HYPERLINK("https://img.alicdn.com/bao/uploaded/i3/2216420997155/O1CN0166qlvWfotrF1chua-2216420997155.jpg","查看主图")</x:f>
        <x:v>HYPERLINK is not implemented. linkLocation=https://img.alicdn.com/bao/uploaded/i3/2216420997155/O1CN0166qlvWfotrF1chua-2216420997155.jpg, friendlyName=查看主图</x:v>
      </x:c>
      <x:c r="O494" s="9" t="str">
        <x:v>标题及既有类目语义复核；珂莱蒂尔Koradior商场同款时尚丹宁牛仔裙伞裙A字裙女2026夏新款；原类目及标题已能确认半身裙；展示使用已知大类，未知裙长下沉到结构字段，不强猜长短。</x:v>
      </x:c>
      <x:c r="P494" s="9" t="str">
        <x:v>普通男女装</x:v>
      </x:c>
      <x:c r="Q494" s="9" t="str">
        <x:v>W_SKIRTS_AVGPAID_1300_1400_ANNUAL2026.xlsx</x:v>
      </x:c>
      <x:c r="R494" s="9" t="str">
        <x:v>默认</x:v>
      </x:c>
      <x:c r="S494" s="9" t="n">
        <x:v>98</x:v>
      </x:c>
      <x:c r="T494" s="9" t="str">
        <x:v>bd4dae1e08e9eca7ddd0669235bf59107cdc418b9c2898fc16f36a7ab5748692</x:v>
      </x:c>
      <x:c r="U494" s="9" t="str">
        <x:v>W_SKIRTS_AVGPAID_1300_1400_ANNUAL2026</x:v>
      </x:c>
      <x:c r="V494" s="9" t="str">
        <x:v>W_SKIRTS_AVGPAID_1300_1400_ANNUAL2026.xlsx / 默认 / 第98行 / SHA256 bd4dae1e08e9eca7ddd0669235bf59107cdc418b9c2898fc16f36a7ab5748692</x:v>
      </x:c>
    </x:row>
    <x:row r="495" ht="58" customHeight="1">
      <x:c r="A495" s="23" t="str">
        <x:v>1028138309194</x:v>
      </x:c>
      <x:c r="B495" s="22"/>
      <x:c r="C495" s="22"/>
      <x:c r="D495" s="22"/>
      <x:c r="E495" s="9" t="str">
        <x:v>裙长未明确</x:v>
      </x:c>
      <x:c r="F495" s="9" t="str">
        <x:v>裙装</x:v>
      </x:c>
      <x:c r="G495" s="9" t="str">
        <x:v>半身裙</x:v>
      </x:c>
      <x:c r="H495" s="9" t="str">
        <x:v>女</x:v>
      </x:c>
      <x:c r="I495" s="9" t="str">
        <x:v>珂莱蒂尔100桑蚕丝法式浪漫度假风玫瑰印花碎花飘逸半身裙夏新款</x:v>
      </x:c>
      <x:c r="J495" s="9" t="str">
        <x:v>KORADIOR/珂莱蒂尔</x:v>
      </x:c>
      <x:c r="K495" s="24" t="n">
        <x:v>1305.64</x:v>
      </x:c>
      <x:c r="L495" s="25" t="e">
        <x:f>HYPERLINK("https://item.taobao.com/item.htm?id=1028138309194","打开商品")</x:f>
        <x:v>HYPERLINK is not implemented. linkLocation=https://item.taobao.com/item.htm?id=1028138309194, friendlyName=打开商品</x:v>
      </x:c>
      <x:c r="M495" s="25" t="e">
        <x:f>HYPERLINK("https://data.zhiyitech.cn/itemDetail/overview/base?itemId=1028138309194","打开知衣")</x:f>
        <x:v>HYPERLINK is not implemented. linkLocation=https://data.zhiyitech.cn/itemDetail/overview/base?itemId=1028138309194, friendlyName=打开知衣</x:v>
      </x:c>
      <x:c r="N495" s="25" t="e">
        <x:f>HYPERLINK("https://img.alicdn.com/bao/uploaded/i1/692195348/O1CN01XJCUgi9hnIL2R3rs_!!692195348.jpg","查看主图")</x:f>
        <x:v>HYPERLINK is not implemented. linkLocation=https://img.alicdn.com/bao/uploaded/i1/692195348/O1CN01XJCUgi9hnIL2R3rs_!!692195348.jpg, friendlyName=查看主图</x:v>
      </x:c>
      <x:c r="O495" s="9" t="str">
        <x:v>标题及既有类目语义复核；珂莱蒂尔100桑蚕丝法式浪漫度假风玫瑰印花碎花飘逸半身裙夏新款；原类目及标题已能确认半身裙；展示使用已知大类，未知裙长下沉到结构字段，不强猜长短。</x:v>
      </x:c>
      <x:c r="P495" s="9" t="str">
        <x:v>普通男女装</x:v>
      </x:c>
      <x:c r="Q495" s="9" t="str">
        <x:v>W_SKIRTS_AVGPAID_1300_1400_ANNUAL2026.xlsx</x:v>
      </x:c>
      <x:c r="R495" s="9" t="str">
        <x:v>默认</x:v>
      </x:c>
      <x:c r="S495" s="9" t="n">
        <x:v>162</x:v>
      </x:c>
      <x:c r="T495" s="9" t="str">
        <x:v>bd4dae1e08e9eca7ddd0669235bf59107cdc418b9c2898fc16f36a7ab5748692</x:v>
      </x:c>
      <x:c r="U495" s="9" t="str">
        <x:v>W_SKIRTS_AVGPAID_1300_1400_ANNUAL2026</x:v>
      </x:c>
      <x:c r="V495" s="9" t="str">
        <x:v>W_SKIRTS_AVGPAID_1300_1400_ANNUAL2026.xlsx / 默认 / 第162行 / SHA256 bd4dae1e08e9eca7ddd0669235bf59107cdc418b9c2898fc16f36a7ab5748692</x:v>
      </x:c>
    </x:row>
    <x:row r="496" ht="58" customHeight="1">
      <x:c r="A496" s="23" t="str">
        <x:v>1028799439583</x:v>
      </x:c>
      <x:c r="B496" s="22"/>
      <x:c r="C496" s="22"/>
      <x:c r="D496" s="22"/>
      <x:c r="E496" s="9" t="str">
        <x:v>裙长未明确</x:v>
      </x:c>
      <x:c r="F496" s="9" t="str">
        <x:v>裙装</x:v>
      </x:c>
      <x:c r="G496" s="9" t="str">
        <x:v>半身裙</x:v>
      </x:c>
      <x:c r="H496" s="9" t="str">
        <x:v>女</x:v>
      </x:c>
      <x:c r="I496" s="9" t="str">
        <x:v>珂莱蒂尔Koradior高雅星光针织裙舒适中腰显瘦半身裙2026夏新款</x:v>
      </x:c>
      <x:c r="J496" s="9" t="str">
        <x:v>KORADIOR/珂莱蒂尔</x:v>
      </x:c>
      <x:c r="K496" s="24" t="n">
        <x:v>1758.29</x:v>
      </x:c>
      <x:c r="L496" s="25" t="e">
        <x:f>HYPERLINK("https://item.taobao.com/item.htm?id=1028799439583","打开商品")</x:f>
        <x:v>HYPERLINK is not implemented. linkLocation=https://item.taobao.com/item.htm?id=1028799439583, friendlyName=打开商品</x:v>
      </x:c>
      <x:c r="M496" s="25" t="e">
        <x:f>HYPERLINK("https://data.zhiyitech.cn/itemDetail/overview/base?itemId=1028799439583","打开知衣")</x:f>
        <x:v>HYPERLINK is not implemented. linkLocation=https://data.zhiyitech.cn/itemDetail/overview/base?itemId=1028799439583, friendlyName=打开知衣</x:v>
      </x:c>
      <x:c r="N496" s="25" t="e">
        <x:f>HYPERLINK("https://img.alicdn.com/bao/uploaded/i3/2216420997155/O1CN01A3ob6yL8FvD1chua-2216420997155.jpg","查看主图")</x:f>
        <x:v>HYPERLINK is not implemented. linkLocation=https://img.alicdn.com/bao/uploaded/i3/2216420997155/O1CN01A3ob6yL8FvD1chua-2216420997155.jpg, friendlyName=查看主图</x:v>
      </x:c>
      <x:c r="O496" s="9" t="str">
        <x:v>标题及既有类目语义复核；珂莱蒂尔Koradior高雅星光针织裙舒适中腰显瘦半身裙2026夏新款；原类目及标题已能确认半身裙；展示使用已知大类，未知裙长下沉到结构字段，不强猜长短。</x:v>
      </x:c>
      <x:c r="P496" s="9" t="str">
        <x:v>普通男女装</x:v>
      </x:c>
      <x:c r="Q496" s="9" t="str">
        <x:v>W_SKIRTS_AVGPAID_1700_1800_ANNUAL2026.xlsx</x:v>
      </x:c>
      <x:c r="R496" s="9" t="str">
        <x:v>默认</x:v>
      </x:c>
      <x:c r="S496" s="9" t="n">
        <x:v>16</x:v>
      </x:c>
      <x:c r="T496" s="9" t="str">
        <x:v>c25ed77c53c7c5cfcf728778a0e9b297d8689503f62756a939cbd534ca9b587a</x:v>
      </x:c>
      <x:c r="U496" s="9" t="str">
        <x:v>W_SKIRTS_AVGPAID_1700_1800_ANNUAL2026</x:v>
      </x:c>
      <x:c r="V496" s="9" t="str">
        <x:v>W_SKIRTS_AVGPAID_1700_1800_ANNUAL2026.xlsx / 默认 / 第16行 / SHA256 c25ed77c53c7c5cfcf728778a0e9b297d8689503f62756a939cbd534ca9b587a</x:v>
      </x:c>
    </x:row>
    <x:row r="497" ht="58" customHeight="1">
      <x:c r="A497" s="23" t="str">
        <x:v>1031793027729</x:v>
      </x:c>
      <x:c r="B497" s="22"/>
      <x:c r="C497" s="22"/>
      <x:c r="D497" s="22"/>
      <x:c r="E497" s="9" t="str">
        <x:v>裙长未明确</x:v>
      </x:c>
      <x:c r="F497" s="9" t="str">
        <x:v>裙装</x:v>
      </x:c>
      <x:c r="G497" s="9" t="str">
        <x:v>半身裙</x:v>
      </x:c>
      <x:c r="H497" s="9" t="str">
        <x:v>女</x:v>
      </x:c>
      <x:c r="I497" s="9" t="str">
        <x:v>珂莱蒂尔Koradior气质通勤垂顺A字半身裙百搭小黑裙女2026夏新款</x:v>
      </x:c>
      <x:c r="J497" s="9" t="str">
        <x:v>KORADIOR/珂莱蒂尔</x:v>
      </x:c>
      <x:c r="K497" s="24" t="n">
        <x:v>1784.21</x:v>
      </x:c>
      <x:c r="L497" s="25" t="e">
        <x:f>HYPERLINK("https://item.taobao.com/item.htm?id=1031793027729","打开商品")</x:f>
        <x:v>HYPERLINK is not implemented. linkLocation=https://item.taobao.com/item.htm?id=1031793027729, friendlyName=打开商品</x:v>
      </x:c>
      <x:c r="M497" s="25" t="e">
        <x:f>HYPERLINK("https://data.zhiyitech.cn/itemDetail/overview/base?itemId=1031793027729","打开知衣")</x:f>
        <x:v>HYPERLINK is not implemented. linkLocation=https://data.zhiyitech.cn/itemDetail/overview/base?itemId=1031793027729, friendlyName=打开知衣</x:v>
      </x:c>
      <x:c r="N497" s="25" t="e">
        <x:f>HYPERLINK("https://img.alicdn.com/bao/uploaded/i3/2216420997155/O1CN01KCNRbutoEBG1chua-2216420997155.jpg","查看主图")</x:f>
        <x:v>HYPERLINK is not implemented. linkLocation=https://img.alicdn.com/bao/uploaded/i3/2216420997155/O1CN01KCNRbutoEBG1chua-2216420997155.jpg, friendlyName=查看主图</x:v>
      </x:c>
      <x:c r="O497" s="9" t="str">
        <x:v>标题及既有类目语义复核；珂莱蒂尔Koradior气质通勤垂顺A字半身裙百搭小黑裙女2026夏新款；原类目及标题已能确认半身裙；展示使用已知大类，未知裙长下沉到结构字段，不强猜长短。</x:v>
      </x:c>
      <x:c r="P497" s="9" t="str">
        <x:v>普通男女装</x:v>
      </x:c>
      <x:c r="Q497" s="9" t="str">
        <x:v>W_SKIRTS_AVGPAID_1700_1800_ANNUAL2026.xlsx</x:v>
      </x:c>
      <x:c r="R497" s="9" t="str">
        <x:v>默认</x:v>
      </x:c>
      <x:c r="S497" s="9" t="n">
        <x:v>165</x:v>
      </x:c>
      <x:c r="T497" s="9" t="str">
        <x:v>c25ed77c53c7c5cfcf728778a0e9b297d8689503f62756a939cbd534ca9b587a</x:v>
      </x:c>
      <x:c r="U497" s="9" t="str">
        <x:v>W_SKIRTS_AVGPAID_1700_1800_ANNUAL2026</x:v>
      </x:c>
      <x:c r="V497" s="9" t="str">
        <x:v>W_SKIRTS_AVGPAID_1700_1800_ANNUAL2026.xlsx / 默认 / 第165行 / SHA256 c25ed77c53c7c5cfcf728778a0e9b297d8689503f62756a939cbd534ca9b587a</x:v>
      </x:c>
    </x:row>
    <x:row r="498" ht="58" customHeight="1">
      <x:c r="A498" s="23" t="str">
        <x:v>1037536704813</x:v>
      </x:c>
      <x:c r="B498" s="22"/>
      <x:c r="C498" s="22"/>
      <x:c r="D498" s="22"/>
      <x:c r="E498" s="9" t="str">
        <x:v>裙长未明确</x:v>
      </x:c>
      <x:c r="F498" s="9" t="str">
        <x:v>裙装</x:v>
      </x:c>
      <x:c r="G498" s="9" t="str">
        <x:v>半身裙</x:v>
      </x:c>
      <x:c r="H498" s="9" t="str">
        <x:v>女</x:v>
      </x:c>
      <x:c r="I498" s="9" t="str">
        <x:v>【辛芷蕾推荐】珂莱蒂尔复古风蓝色高腰荷叶边牛仔半身裙2026夏新</x:v>
      </x:c>
      <x:c r="J498" s="9" t="str">
        <x:v>KORADIOR/珂莱蒂尔</x:v>
      </x:c>
      <x:c r="K498" s="24" t="n">
        <x:v>1760.73</x:v>
      </x:c>
      <x:c r="L498" s="25" t="e">
        <x:f>HYPERLINK("https://item.taobao.com/item.htm?id=1037536704813","打开商品")</x:f>
        <x:v>HYPERLINK is not implemented. linkLocation=https://item.taobao.com/item.htm?id=1037536704813, friendlyName=打开商品</x:v>
      </x:c>
      <x:c r="M498" s="25" t="e">
        <x:f>HYPERLINK("https://data.zhiyitech.cn/itemDetail/overview/base?itemId=1037536704813","打开知衣")</x:f>
        <x:v>HYPERLINK is not implemented. linkLocation=https://data.zhiyitech.cn/itemDetail/overview/base?itemId=1037536704813, friendlyName=打开知衣</x:v>
      </x:c>
      <x:c r="N498" s="25" t="e">
        <x:f>HYPERLINK("https://img.alicdn.com/bao/uploaded/i4/2216420997155/O1CN01T2swlgegPfL1chua-2216420997155.jpg","查看主图")</x:f>
        <x:v>HYPERLINK is not implemented. linkLocation=https://img.alicdn.com/bao/uploaded/i4/2216420997155/O1CN01T2swlgegPfL1chua-2216420997155.jpg, friendlyName=查看主图</x:v>
      </x:c>
      <x:c r="O498" s="9" t="str">
        <x:v>标题及既有类目语义复核；【辛芷蕾推荐】珂莱蒂尔复古风蓝色高腰荷叶边牛仔半身裙2026夏新；原类目及标题已能确认半身裙；展示使用已知大类，未知裙长下沉到结构字段，不强猜长短。</x:v>
      </x:c>
      <x:c r="P498" s="9" t="str">
        <x:v>普通男女装</x:v>
      </x:c>
      <x:c r="Q498" s="9" t="str">
        <x:v>W_SKIRTS_AVGPAID_1700_1800_ANNUAL2026.xlsx</x:v>
      </x:c>
      <x:c r="R498" s="9" t="str">
        <x:v>默认</x:v>
      </x:c>
      <x:c r="S498" s="9" t="n">
        <x:v>321</x:v>
      </x:c>
      <x:c r="T498" s="9" t="str">
        <x:v>c25ed77c53c7c5cfcf728778a0e9b297d8689503f62756a939cbd534ca9b587a</x:v>
      </x:c>
      <x:c r="U498" s="9" t="str">
        <x:v>W_SKIRTS_AVGPAID_1700_1800_ANNUAL2026</x:v>
      </x:c>
      <x:c r="V498" s="9" t="str">
        <x:v>W_SKIRTS_AVGPAID_1700_1800_ANNUAL2026.xlsx / 默认 / 第321行 / SHA256 c25ed77c53c7c5cfcf728778a0e9b297d8689503f62756a939cbd534ca9b587a</x:v>
      </x:c>
    </x:row>
    <x:row r="499" ht="58" customHeight="1">
      <x:c r="A499" s="23" t="str">
        <x:v>1037539696142</x:v>
      </x:c>
      <x:c r="B499" s="22"/>
      <x:c r="C499" s="22"/>
      <x:c r="D499" s="22"/>
      <x:c r="E499" s="9" t="str">
        <x:v>裙长未明确</x:v>
      </x:c>
      <x:c r="F499" s="9" t="str">
        <x:v>裙装</x:v>
      </x:c>
      <x:c r="G499" s="9" t="str">
        <x:v>半身裙</x:v>
      </x:c>
      <x:c r="H499" s="9" t="str">
        <x:v>女</x:v>
      </x:c>
      <x:c r="I499" s="9" t="str">
        <x:v>【辛芷蕾同款】珂莱蒂尔法式温柔风碎花半身裙复古高腰显瘦2026夏</x:v>
      </x:c>
      <x:c r="J499" s="9" t="str">
        <x:v>KORADIOR/珂莱蒂尔</x:v>
      </x:c>
      <x:c r="K499" s="24" t="n">
        <x:v>1760.13</x:v>
      </x:c>
      <x:c r="L499" s="25" t="e">
        <x:f>HYPERLINK("https://item.taobao.com/item.htm?id=1037539696142","打开商品")</x:f>
        <x:v>HYPERLINK is not implemented. linkLocation=https://item.taobao.com/item.htm?id=1037539696142, friendlyName=打开商品</x:v>
      </x:c>
      <x:c r="M499" s="25" t="e">
        <x:f>HYPERLINK("https://data.zhiyitech.cn/itemDetail/overview/base?itemId=1037539696142","打开知衣")</x:f>
        <x:v>HYPERLINK is not implemented. linkLocation=https://data.zhiyitech.cn/itemDetail/overview/base?itemId=1037539696142, friendlyName=打开知衣</x:v>
      </x:c>
      <x:c r="N499" s="25" t="e">
        <x:f>HYPERLINK("https://img.alicdn.com/bao/uploaded/i4/2216420997155/O1CN018Q11n8eZCRB1chua-2216420997155.jpg","查看主图")</x:f>
        <x:v>HYPERLINK is not implemented. linkLocation=https://img.alicdn.com/bao/uploaded/i4/2216420997155/O1CN018Q11n8eZCRB1chua-2216420997155.jpg, friendlyName=查看主图</x:v>
      </x:c>
      <x:c r="O499" s="9" t="str">
        <x:v>标题及既有类目语义复核；【辛芷蕾同款】珂莱蒂尔法式温柔风碎花半身裙复古高腰显瘦2026夏；原类目及标题已能确认半身裙；展示使用已知大类，未知裙长下沉到结构字段，不强猜长短。</x:v>
      </x:c>
      <x:c r="P499" s="9" t="str">
        <x:v>普通男女装</x:v>
      </x:c>
      <x:c r="Q499" s="9" t="str">
        <x:v>W_SKIRTS_AVGPAID_1700_1800_ANNUAL2026.xlsx</x:v>
      </x:c>
      <x:c r="R499" s="9" t="str">
        <x:v>默认</x:v>
      </x:c>
      <x:c r="S499" s="9" t="n">
        <x:v>86</x:v>
      </x:c>
      <x:c r="T499" s="9" t="str">
        <x:v>c25ed77c53c7c5cfcf728778a0e9b297d8689503f62756a939cbd534ca9b587a</x:v>
      </x:c>
      <x:c r="U499" s="9" t="str">
        <x:v>W_SKIRTS_AVGPAID_1700_1800_ANNUAL2026</x:v>
      </x:c>
      <x:c r="V499" s="9" t="str">
        <x:v>W_SKIRTS_AVGPAID_1700_1800_ANNUAL2026.xlsx / 默认 / 第86行 / SHA256 c25ed77c53c7c5cfcf728778a0e9b297d8689503f62756a939cbd534ca9b587a</x:v>
      </x:c>
    </x:row>
    <x:row r="500" ht="58" customHeight="1">
      <x:c r="A500" s="23" t="str">
        <x:v>1050274589247</x:v>
      </x:c>
      <x:c r="B500" s="22"/>
      <x:c r="C500" s="22"/>
      <x:c r="D500" s="22"/>
      <x:c r="E500" s="9" t="str">
        <x:v>裙长未明确</x:v>
      </x:c>
      <x:c r="F500" s="9" t="str">
        <x:v>裙装</x:v>
      </x:c>
      <x:c r="G500" s="9" t="str">
        <x:v>半身裙</x:v>
      </x:c>
      <x:c r="H500" s="9" t="str">
        <x:v>女</x:v>
      </x:c>
      <x:c r="I500" s="9" t="str">
        <x:v>Koradior珂莱蒂尔重工蕾丝刺绣网纱a字半身裙气质百搭夏季款女</x:v>
      </x:c>
      <x:c r="J500" s="9" t="str">
        <x:v>KORADIOR/珂莱蒂尔</x:v>
      </x:c>
      <x:c r="K500" s="24" t="n">
        <x:v>1301.03</x:v>
      </x:c>
      <x:c r="L500" s="25" t="e">
        <x:f>HYPERLINK("https://item.taobao.com/item.htm?id=1050274589247","打开商品")</x:f>
        <x:v>HYPERLINK is not implemented. linkLocation=https://item.taobao.com/item.htm?id=1050274589247, friendlyName=打开商品</x:v>
      </x:c>
      <x:c r="M500" s="25" t="e">
        <x:f>HYPERLINK("https://data.zhiyitech.cn/itemDetail/overview/base?itemId=1050274589247","打开知衣")</x:f>
        <x:v>HYPERLINK is not implemented. linkLocation=https://data.zhiyitech.cn/itemDetail/overview/base?itemId=1050274589247, friendlyName=打开知衣</x:v>
      </x:c>
      <x:c r="N500" s="25" t="e">
        <x:f>HYPERLINK("https://img.alicdn.com/bao/uploaded/i1/692195348/O1CN01odRf9y13CyC2vH2e_!!692195348.jpg","查看主图")</x:f>
        <x:v>HYPERLINK is not implemented. linkLocation=https://img.alicdn.com/bao/uploaded/i1/692195348/O1CN01odRf9y13CyC2vH2e_!!692195348.jpg, friendlyName=查看主图</x:v>
      </x:c>
      <x:c r="O500" s="9" t="str">
        <x:v>标题及既有类目语义复核；Koradior珂莱蒂尔重工蕾丝刺绣网纱a字半身裙气质百搭夏季款女；原类目及标题已能确认半身裙；展示使用已知大类，未知裙长下沉到结构字段，不强猜长短。</x:v>
      </x:c>
      <x:c r="P500" s="9" t="str">
        <x:v>普通男女装</x:v>
      </x:c>
      <x:c r="Q500" s="9" t="str">
        <x:v>W_SKIRTS_AVGPAID_1300_1400_ANNUAL2026.xlsx</x:v>
      </x:c>
      <x:c r="R500" s="9" t="str">
        <x:v>默认</x:v>
      </x:c>
      <x:c r="S500" s="9" t="n">
        <x:v>378</x:v>
      </x:c>
      <x:c r="T500" s="9" t="str">
        <x:v>bd4dae1e08e9eca7ddd0669235bf59107cdc418b9c2898fc16f36a7ab5748692</x:v>
      </x:c>
      <x:c r="U500" s="9" t="str">
        <x:v>W_SKIRTS_AVGPAID_1300_1400_ANNUAL2026</x:v>
      </x:c>
      <x:c r="V500" s="9" t="str">
        <x:v>W_SKIRTS_AVGPAID_1300_1400_ANNUAL2026.xlsx / 默认 / 第378行 / SHA256 bd4dae1e08e9eca7ddd0669235bf59107cdc418b9c2898fc16f36a7ab5748692</x:v>
      </x:c>
    </x:row>
    <x:row r="501" ht="58" customHeight="1">
      <x:c r="A501" s="23" t="str">
        <x:v>1058072099465</x:v>
      </x:c>
      <x:c r="B501" s="22"/>
      <x:c r="C501" s="22"/>
      <x:c r="D501" s="22"/>
      <x:c r="E501" s="9" t="str">
        <x:v>裙长未明确</x:v>
      </x:c>
      <x:c r="F501" s="9" t="str">
        <x:v>裙装</x:v>
      </x:c>
      <x:c r="G501" s="9" t="str">
        <x:v>半身裙</x:v>
      </x:c>
      <x:c r="H501" s="9" t="str">
        <x:v>女</x:v>
      </x:c>
      <x:c r="I501" s="9" t="str">
        <x:v>珂莱蒂尔商场同款气质优雅显瘦A字裙黑色鱼尾裙半身裙2026秋新款</x:v>
      </x:c>
      <x:c r="J501" s="9" t="str">
        <x:v>KORADIOR/珂莱蒂尔</x:v>
      </x:c>
      <x:c r="K501" s="24" t="n">
        <x:v>1769.57</x:v>
      </x:c>
      <x:c r="L501" s="25" t="e">
        <x:f>HYPERLINK("https://item.taobao.com/item.htm?id=1058072099465","打开商品")</x:f>
        <x:v>HYPERLINK is not implemented. linkLocation=https://item.taobao.com/item.htm?id=1058072099465, friendlyName=打开商品</x:v>
      </x:c>
      <x:c r="M501" s="25" t="e">
        <x:f>HYPERLINK("https://data.zhiyitech.cn/itemDetail/overview/base?itemId=1058072099465","打开知衣")</x:f>
        <x:v>HYPERLINK is not implemented. linkLocation=https://data.zhiyitech.cn/itemDetail/overview/base?itemId=1058072099465, friendlyName=打开知衣</x:v>
      </x:c>
      <x:c r="N501" s="25" t="e">
        <x:f>HYPERLINK("https://img.alicdn.com/bao/uploaded/i3/2216420997155/O1CN0144S6iQtO7QF1chua-2216420997155.jpg","查看主图")</x:f>
        <x:v>HYPERLINK is not implemented. linkLocation=https://img.alicdn.com/bao/uploaded/i3/2216420997155/O1CN0144S6iQtO7QF1chua-2216420997155.jpg, friendlyName=查看主图</x:v>
      </x:c>
      <x:c r="O501" s="9" t="str">
        <x:v>标题及既有类目语义复核；珂莱蒂尔商场同款气质优雅显瘦A字裙黑色鱼尾裙半身裙2026秋新款；原类目及标题已能确认半身裙；展示使用已知大类，未知裙长下沉到结构字段，不强猜长短。</x:v>
      </x:c>
      <x:c r="P501" s="9" t="str">
        <x:v>普通男女装</x:v>
      </x:c>
      <x:c r="Q501" s="9" t="str">
        <x:v>W_SKIRTS_AVGPAID_1700_1800_ANNUAL2026.xlsx</x:v>
      </x:c>
      <x:c r="R501" s="9" t="str">
        <x:v>默认</x:v>
      </x:c>
      <x:c r="S501" s="9" t="n">
        <x:v>355</x:v>
      </x:c>
      <x:c r="T501" s="9" t="str">
        <x:v>c25ed77c53c7c5cfcf728778a0e9b297d8689503f62756a939cbd534ca9b587a</x:v>
      </x:c>
      <x:c r="U501" s="9" t="str">
        <x:v>W_SKIRTS_AVGPAID_1700_1800_ANNUAL2026</x:v>
      </x:c>
      <x:c r="V501" s="9" t="str">
        <x:v>W_SKIRTS_AVGPAID_1700_1800_ANNUAL2026.xlsx / 默认 / 第355行 / SHA256 c25ed77c53c7c5cfcf728778a0e9b297d8689503f62756a939cbd534ca9b587a</x:v>
      </x:c>
    </x:row>
    <x:row r="502" ht="58" customHeight="1">
      <x:c r="A502" s="23" t="str">
        <x:v>1070088032598</x:v>
      </x:c>
      <x:c r="B502" s="22"/>
      <x:c r="C502" s="22"/>
      <x:c r="D502" s="22"/>
      <x:c r="E502" s="9" t="str">
        <x:v>裙长未明确</x:v>
      </x:c>
      <x:c r="F502" s="9" t="str">
        <x:v>裙装</x:v>
      </x:c>
      <x:c r="G502" s="9" t="str">
        <x:v>半身裙</x:v>
      </x:c>
      <x:c r="H502" s="9" t="str">
        <x:v>女</x:v>
      </x:c>
      <x:c r="I502" s="9" t="str">
        <x:v>珂莱蒂尔Koradior休闲显瘦百搭气质半身裙女商场同款2026秋新款</x:v>
      </x:c>
      <x:c r="J502" s="9" t="str">
        <x:v>KORADIOR/珂莱蒂尔</x:v>
      </x:c>
      <x:c r="K502" s="24" t="n">
        <x:v>1563.37</x:v>
      </x:c>
      <x:c r="L502" s="25" t="e">
        <x:f>HYPERLINK("https://item.taobao.com/item.htm?id=1070088032598","打开商品")</x:f>
        <x:v>HYPERLINK is not implemented. linkLocation=https://item.taobao.com/item.htm?id=1070088032598, friendlyName=打开商品</x:v>
      </x:c>
      <x:c r="M502" s="25" t="e">
        <x:f>HYPERLINK("https://data.zhiyitech.cn/itemDetail/overview/base?itemId=1070088032598","打开知衣")</x:f>
        <x:v>HYPERLINK is not implemented. linkLocation=https://data.zhiyitech.cn/itemDetail/overview/base?itemId=1070088032598, friendlyName=打开知衣</x:v>
      </x:c>
      <x:c r="N502" s="25" t="e">
        <x:f>HYPERLINK("https://img.alicdn.com/bao/uploaded/i1/2216420997155/O1CN01JSitM985n6D1chua-2216420997155.jpg","查看主图")</x:f>
        <x:v>HYPERLINK is not implemented. linkLocation=https://img.alicdn.com/bao/uploaded/i1/2216420997155/O1CN01JSitM985n6D1chua-2216420997155.jpg, friendlyName=查看主图</x:v>
      </x:c>
      <x:c r="O502" s="9" t="str">
        <x:v>标题及既有类目语义复核；珂莱蒂尔Koradior休闲显瘦百搭气质半身裙女商场同款2026秋新款；原类目及标题已能确认半身裙；展示使用已知大类，未知裙长下沉到结构字段，不强猜长短。</x:v>
      </x:c>
      <x:c r="P502" s="9" t="str">
        <x:v>普通男女装</x:v>
      </x:c>
      <x:c r="Q502" s="9" t="str">
        <x:v>W_SKIRTS_AVGPAID_1500_1600_ANNUAL2026.xlsx</x:v>
      </x:c>
      <x:c r="R502" s="9" t="str">
        <x:v>默认</x:v>
      </x:c>
      <x:c r="S502" s="9" t="n">
        <x:v>454</x:v>
      </x:c>
      <x:c r="T502" s="9" t="str">
        <x:v>deede8b56943df4f914be45dba170f12e69064023d6ef0e88dbde1764f6ba23e</x:v>
      </x:c>
      <x:c r="U502" s="9" t="str">
        <x:v>W_SKIRTS_AVGPAID_1500_1600_ANNUAL2026</x:v>
      </x:c>
      <x:c r="V502" s="9" t="str">
        <x:v>W_SKIRTS_AVGPAID_1500_1600_ANNUAL2026.xlsx / 默认 / 第454行 / SHA256 deede8b56943df4f914be45dba170f12e69064023d6ef0e88dbde1764f6ba23e</x:v>
      </x:c>
    </x:row>
    <x:row r="503" ht="58" customHeight="1">
      <x:c r="A503" s="23" t="str">
        <x:v>761325632067</x:v>
      </x:c>
      <x:c r="B503" s="22"/>
      <x:c r="C503" s="22"/>
      <x:c r="D503" s="22"/>
      <x:c r="E503" s="9" t="str">
        <x:v>裙长未明确</x:v>
      </x:c>
      <x:c r="F503" s="9" t="str">
        <x:v>裙装</x:v>
      </x:c>
      <x:c r="G503" s="9" t="str">
        <x:v>半身裙</x:v>
      </x:c>
      <x:c r="H503" s="9" t="str">
        <x:v>女</x:v>
      </x:c>
      <x:c r="I503" s="9" t="str">
        <x:v>Koradior珂莱蒂尔商场同款春黑色半身裙显瘦鱼尾裙女</x:v>
      </x:c>
      <x:c r="J503" s="9" t="str">
        <x:v>KORADIOR/珂莱蒂尔</x:v>
      </x:c>
      <x:c r="K503" s="24" t="n">
        <x:v>1548.07</x:v>
      </x:c>
      <x:c r="L503" s="25" t="e">
        <x:f>HYPERLINK("https://item.taobao.com/item.htm?id=761325632067","打开商品")</x:f>
        <x:v>HYPERLINK is not implemented. linkLocation=https://item.taobao.com/item.htm?id=761325632067, friendlyName=打开商品</x:v>
      </x:c>
      <x:c r="M503" s="25" t="e">
        <x:f>HYPERLINK("https://data.zhiyitech.cn/itemDetail/overview/base?itemId=761325632067","打开知衣")</x:f>
        <x:v>HYPERLINK is not implemented. linkLocation=https://data.zhiyitech.cn/itemDetail/overview/base?itemId=761325632067, friendlyName=打开知衣</x:v>
      </x:c>
      <x:c r="N503" s="25" t="e">
        <x:f>HYPERLINK("https://img.alicdn.com/bao/uploaded/i4/2216420997155/O1CN01I4Z4ZWc1XCG1chua-2216420997155.jpg","查看主图")</x:f>
        <x:v>HYPERLINK is not implemented. linkLocation=https://img.alicdn.com/bao/uploaded/i4/2216420997155/O1CN01I4Z4ZWc1XCG1chua-2216420997155.jpg, friendlyName=查看主图</x:v>
      </x:c>
      <x:c r="O503" s="9" t="str">
        <x:v>标题及既有类目语义复核；Koradior珂莱蒂尔商场同款春黑色半身裙显瘦鱼尾裙女；原类目及标题已能确认半身裙；展示使用已知大类，未知裙长下沉到结构字段，不强猜长短。</x:v>
      </x:c>
      <x:c r="P503" s="9" t="str">
        <x:v>普通男女装</x:v>
      </x:c>
      <x:c r="Q503" s="9" t="str">
        <x:v>W_SKIRTS_AVGPAID_1500_1600_ANNUAL2026.xlsx</x:v>
      </x:c>
      <x:c r="R503" s="9" t="str">
        <x:v>默认</x:v>
      </x:c>
      <x:c r="S503" s="9" t="n">
        <x:v>305</x:v>
      </x:c>
      <x:c r="T503" s="9" t="str">
        <x:v>deede8b56943df4f914be45dba170f12e69064023d6ef0e88dbde1764f6ba23e</x:v>
      </x:c>
      <x:c r="U503" s="9" t="str">
        <x:v>W_SKIRTS_AVGPAID_1500_1600_ANNUAL2026</x:v>
      </x:c>
      <x:c r="V503" s="9" t="str">
        <x:v>W_SKIRTS_AVGPAID_1500_1600_ANNUAL2026.xlsx / 默认 / 第305行 / SHA256 deede8b56943df4f914be45dba170f12e69064023d6ef0e88dbde1764f6ba23e</x:v>
      </x:c>
    </x:row>
    <x:row r="504" ht="58" customHeight="1">
      <x:c r="A504" s="23" t="str">
        <x:v>798756896921</x:v>
      </x:c>
      <x:c r="B504" s="22"/>
      <x:c r="C504" s="22"/>
      <x:c r="D504" s="22"/>
      <x:c r="E504" s="9" t="str">
        <x:v>裙长未明确</x:v>
      </x:c>
      <x:c r="F504" s="9" t="str">
        <x:v>裙装</x:v>
      </x:c>
      <x:c r="G504" s="9" t="str">
        <x:v>半身裙</x:v>
      </x:c>
      <x:c r="H504" s="9" t="str">
        <x:v>女</x:v>
      </x:c>
      <x:c r="I504" s="9" t="str">
        <x:v>珂莱蒂尔秋季舒适透气网纱半身裙女气质时尚通勤百搭A字裙子</x:v>
      </x:c>
      <x:c r="J504" s="9" t="str">
        <x:v>KORADIOR/珂莱蒂尔</x:v>
      </x:c>
      <x:c r="K504" s="24" t="n">
        <x:v>1389.09</x:v>
      </x:c>
      <x:c r="L504" s="25" t="e">
        <x:f>HYPERLINK("https://item.taobao.com/item.htm?id=798756896921","打开商品")</x:f>
        <x:v>HYPERLINK is not implemented. linkLocation=https://item.taobao.com/item.htm?id=798756896921, friendlyName=打开商品</x:v>
      </x:c>
      <x:c r="M504" s="25" t="e">
        <x:f>HYPERLINK("https://data.zhiyitech.cn/itemDetail/overview/base?itemId=798756896921","打开知衣")</x:f>
        <x:v>HYPERLINK is not implemented. linkLocation=https://data.zhiyitech.cn/itemDetail/overview/base?itemId=798756896921, friendlyName=打开知衣</x:v>
      </x:c>
      <x:c r="N504" s="25" t="e">
        <x:f>HYPERLINK("https://img.alicdn.com/bao/uploaded/i1/692195348/O1CN01S1zVljX15rE1chua_!!692195348.jpg","查看主图")</x:f>
        <x:v>HYPERLINK is not implemented. linkLocation=https://img.alicdn.com/bao/uploaded/i1/692195348/O1CN01S1zVljX15rE1chua_!!692195348.jpg, friendlyName=查看主图</x:v>
      </x:c>
      <x:c r="O504" s="9" t="str">
        <x:v>标题及既有类目语义复核；珂莱蒂尔秋季舒适透气网纱半身裙女气质时尚通勤百搭A字裙子；原类目及标题已能确认半身裙；展示使用已知大类，未知裙长下沉到结构字段，不强猜长短。</x:v>
      </x:c>
      <x:c r="P504" s="9" t="str">
        <x:v>普通男女装</x:v>
      </x:c>
      <x:c r="Q504" s="9" t="str">
        <x:v>W_SKIRTS_AVGPAID_1300_1400_ANNUAL2026.xlsx</x:v>
      </x:c>
      <x:c r="R504" s="9" t="str">
        <x:v>默认</x:v>
      </x:c>
      <x:c r="S504" s="9" t="n">
        <x:v>493</x:v>
      </x:c>
      <x:c r="T504" s="9" t="str">
        <x:v>bd4dae1e08e9eca7ddd0669235bf59107cdc418b9c2898fc16f36a7ab5748692</x:v>
      </x:c>
      <x:c r="U504" s="9" t="str">
        <x:v>W_SKIRTS_AVGPAID_1300_1400_ANNUAL2026</x:v>
      </x:c>
      <x:c r="V504" s="9" t="str">
        <x:v>W_SKIRTS_AVGPAID_1300_1400_ANNUAL2026.xlsx / 默认 / 第493行 / SHA256 bd4dae1e08e9eca7ddd0669235bf59107cdc418b9c2898fc16f36a7ab5748692</x:v>
      </x:c>
    </x:row>
    <x:row r="505" ht="58" customHeight="1">
      <x:c r="A505" s="23" t="str">
        <x:v>826613852333</x:v>
      </x:c>
      <x:c r="B505" s="22"/>
      <x:c r="C505" s="22"/>
      <x:c r="D505" s="22"/>
      <x:c r="E505" s="9" t="str">
        <x:v>裙长未明确</x:v>
      </x:c>
      <x:c r="F505" s="9" t="str">
        <x:v>裙装</x:v>
      </x:c>
      <x:c r="G505" s="9" t="str">
        <x:v>半身裙</x:v>
      </x:c>
      <x:c r="H505" s="9" t="str">
        <x:v>女</x:v>
      </x:c>
      <x:c r="I505" s="9" t="str">
        <x:v>【蕾丝之境】Koradior珂莱蒂尔商场同款春季气质重工蕾丝半身裙女</x:v>
      </x:c>
      <x:c r="J505" s="9" t="str">
        <x:v>KORADIOR/珂莱蒂尔</x:v>
      </x:c>
      <x:c r="K505" s="24" t="n">
        <x:v>1587.91</x:v>
      </x:c>
      <x:c r="L505" s="25" t="e">
        <x:f>HYPERLINK("https://item.taobao.com/item.htm?id=826613852333","打开商品")</x:f>
        <x:v>HYPERLINK is not implemented. linkLocation=https://item.taobao.com/item.htm?id=826613852333, friendlyName=打开商品</x:v>
      </x:c>
      <x:c r="M505" s="25" t="e">
        <x:f>HYPERLINK("https://data.zhiyitech.cn/itemDetail/overview/base?itemId=826613852333","打开知衣")</x:f>
        <x:v>HYPERLINK is not implemented. linkLocation=https://data.zhiyitech.cn/itemDetail/overview/base?itemId=826613852333, friendlyName=打开知衣</x:v>
      </x:c>
      <x:c r="N505" s="25" t="e">
        <x:f>HYPERLINK("https://img.alicdn.com/bao/uploaded/i3/2216420997155/O1CN01PwMZhltpJiI1chua-2216420997155.jpg","查看主图")</x:f>
        <x:v>HYPERLINK is not implemented. linkLocation=https://img.alicdn.com/bao/uploaded/i3/2216420997155/O1CN01PwMZhltpJiI1chua-2216420997155.jpg, friendlyName=查看主图</x:v>
      </x:c>
      <x:c r="O505" s="9" t="str">
        <x:v>标题及既有类目语义复核；【蕾丝之境】Koradior珂莱蒂尔商场同款春季气质重工蕾丝半身裙女；原类目及标题已能确认半身裙；展示使用已知大类，未知裙长下沉到结构字段，不强猜长短。</x:v>
      </x:c>
      <x:c r="P505" s="9" t="str">
        <x:v>普通男女装</x:v>
      </x:c>
      <x:c r="Q505" s="9" t="str">
        <x:v>W_SKIRTS_AVGPAID_1500_1600_ANNUAL2026.xlsx</x:v>
      </x:c>
      <x:c r="R505" s="9" t="str">
        <x:v>默认</x:v>
      </x:c>
      <x:c r="S505" s="9" t="n">
        <x:v>144</x:v>
      </x:c>
      <x:c r="T505" s="9" t="str">
        <x:v>deede8b56943df4f914be45dba170f12e69064023d6ef0e88dbde1764f6ba23e</x:v>
      </x:c>
      <x:c r="U505" s="9" t="str">
        <x:v>W_SKIRTS_AVGPAID_1500_1600_ANNUAL2026</x:v>
      </x:c>
      <x:c r="V505" s="9" t="str">
        <x:v>W_SKIRTS_AVGPAID_1500_1600_ANNUAL2026.xlsx / 默认 / 第144行 / SHA256 deede8b56943df4f914be45dba170f12e69064023d6ef0e88dbde1764f6ba23e</x:v>
      </x:c>
    </x:row>
    <x:row r="506" ht="58" customHeight="1">
      <x:c r="A506" s="23" t="str">
        <x:v>877971194669</x:v>
      </x:c>
      <x:c r="B506" s="22"/>
      <x:c r="C506" s="22"/>
      <x:c r="D506" s="22"/>
      <x:c r="E506" s="9" t="str">
        <x:v>裙长未明确</x:v>
      </x:c>
      <x:c r="F506" s="9" t="str">
        <x:v>裙装</x:v>
      </x:c>
      <x:c r="G506" s="9" t="str">
        <x:v>半身裙</x:v>
      </x:c>
      <x:c r="H506" s="9" t="str">
        <x:v>女</x:v>
      </x:c>
      <x:c r="I506" s="9" t="str">
        <x:v>【玫瑰诗语】Koradior珂莱蒂尔商场同款2025春气质浪漫碎花半身裙</x:v>
      </x:c>
      <x:c r="J506" s="9" t="str">
        <x:v>KORADIOR/珂莱蒂尔</x:v>
      </x:c>
      <x:c r="K506" s="24" t="n">
        <x:v>1724.2</x:v>
      </x:c>
      <x:c r="L506" s="25" t="e">
        <x:f>HYPERLINK("https://item.taobao.com/item.htm?id=877971194669","打开商品")</x:f>
        <x:v>HYPERLINK is not implemented. linkLocation=https://item.taobao.com/item.htm?id=877971194669, friendlyName=打开商品</x:v>
      </x:c>
      <x:c r="M506" s="25" t="e">
        <x:f>HYPERLINK("https://data.zhiyitech.cn/itemDetail/overview/base?itemId=877971194669","打开知衣")</x:f>
        <x:v>HYPERLINK is not implemented. linkLocation=https://data.zhiyitech.cn/itemDetail/overview/base?itemId=877971194669, friendlyName=打开知衣</x:v>
      </x:c>
      <x:c r="N506" s="25" t="e">
        <x:f>HYPERLINK("https://img.alicdn.com/bao/uploaded/i4/2216420997155/O1CN01dsOla8W5VmE1chua-2216420997155.jpg","查看主图")</x:f>
        <x:v>HYPERLINK is not implemented. linkLocation=https://img.alicdn.com/bao/uploaded/i4/2216420997155/O1CN01dsOla8W5VmE1chua-2216420997155.jpg, friendlyName=查看主图</x:v>
      </x:c>
      <x:c r="O506" s="9" t="str">
        <x:v>标题及既有类目语义复核；【玫瑰诗语】Koradior珂莱蒂尔商场同款2025春气质浪漫碎花半身裙；原类目及标题已能确认半身裙；展示使用已知大类，未知裙长下沉到结构字段，不强猜长短。</x:v>
      </x:c>
      <x:c r="P506" s="9" t="str">
        <x:v>普通男女装</x:v>
      </x:c>
      <x:c r="Q506" s="9" t="str">
        <x:v>W_SKIRTS_AVGPAID_1700_1800_ANNUAL2026.xlsx</x:v>
      </x:c>
      <x:c r="R506" s="9" t="str">
        <x:v>默认</x:v>
      </x:c>
      <x:c r="S506" s="9" t="n">
        <x:v>333</x:v>
      </x:c>
      <x:c r="T506" s="9" t="str">
        <x:v>c25ed77c53c7c5cfcf728778a0e9b297d8689503f62756a939cbd534ca9b587a</x:v>
      </x:c>
      <x:c r="U506" s="9" t="str">
        <x:v>W_SKIRTS_AVGPAID_1700_1800_ANNUAL2026</x:v>
      </x:c>
      <x:c r="V506" s="9" t="str">
        <x:v>W_SKIRTS_AVGPAID_1700_1800_ANNUAL2026.xlsx / 默认 / 第333行 / SHA256 c25ed77c53c7c5cfcf728778a0e9b297d8689503f62756a939cbd534ca9b587a</x:v>
      </x:c>
    </x:row>
    <x:row r="507" ht="58" customHeight="1">
      <x:c r="A507" s="23" t="str">
        <x:v>891183509031</x:v>
      </x:c>
      <x:c r="B507" s="22"/>
      <x:c r="C507" s="22"/>
      <x:c r="D507" s="22"/>
      <x:c r="E507" s="9" t="str">
        <x:v>裙长未明确</x:v>
      </x:c>
      <x:c r="F507" s="9" t="str">
        <x:v>裙装</x:v>
      </x:c>
      <x:c r="G507" s="9" t="str">
        <x:v>半身裙</x:v>
      </x:c>
      <x:c r="H507" s="9" t="str">
        <x:v>女</x:v>
      </x:c>
      <x:c r="I507" s="9" t="str">
        <x:v>【玫瑰假日】Koradior珂莱蒂尔商场同款2025春季气质度假风半身裙</x:v>
      </x:c>
      <x:c r="J507" s="9" t="str">
        <x:v>KORADIOR/珂莱蒂尔</x:v>
      </x:c>
      <x:c r="K507" s="24" t="n">
        <x:v>1321.42</x:v>
      </x:c>
      <x:c r="L507" s="25" t="e">
        <x:f>HYPERLINK("https://item.taobao.com/item.htm?id=891183509031","打开商品")</x:f>
        <x:v>HYPERLINK is not implemented. linkLocation=https://item.taobao.com/item.htm?id=891183509031, friendlyName=打开商品</x:v>
      </x:c>
      <x:c r="M507" s="25" t="e">
        <x:f>HYPERLINK("https://data.zhiyitech.cn/itemDetail/overview/base?itemId=891183509031","打开知衣")</x:f>
        <x:v>HYPERLINK is not implemented. linkLocation=https://data.zhiyitech.cn/itemDetail/overview/base?itemId=891183509031, friendlyName=打开知衣</x:v>
      </x:c>
      <x:c r="N507" s="25" t="e">
        <x:f>HYPERLINK("https://img.alicdn.com/bao/uploaded/i1/2216420997155/O1CN01mGto1e8mWAF1chua-2216420997155.jpg","查看主图")</x:f>
        <x:v>HYPERLINK is not implemented. linkLocation=https://img.alicdn.com/bao/uploaded/i1/2216420997155/O1CN01mGto1e8mWAF1chua-2216420997155.jpg, friendlyName=查看主图</x:v>
      </x:c>
      <x:c r="O507" s="9" t="str">
        <x:v>标题及既有类目语义复核；【玫瑰假日】Koradior珂莱蒂尔商场同款2025春季气质度假风半身裙；原类目及标题已能确认半身裙；展示使用已知大类，未知裙长下沉到结构字段，不强猜长短。</x:v>
      </x:c>
      <x:c r="P507" s="9" t="str">
        <x:v>普通男女装</x:v>
      </x:c>
      <x:c r="Q507" s="9" t="str">
        <x:v>W_SKIRTS_AVGPAID_1300_1400_ANNUAL2026.xlsx</x:v>
      </x:c>
      <x:c r="R507" s="9" t="str">
        <x:v>默认</x:v>
      </x:c>
      <x:c r="S507" s="9" t="n">
        <x:v>327</x:v>
      </x:c>
      <x:c r="T507" s="9" t="str">
        <x:v>bd4dae1e08e9eca7ddd0669235bf59107cdc418b9c2898fc16f36a7ab5748692</x:v>
      </x:c>
      <x:c r="U507" s="9" t="str">
        <x:v>W_SKIRTS_AVGPAID_1300_1400_ANNUAL2026</x:v>
      </x:c>
      <x:c r="V507" s="9" t="str">
        <x:v>W_SKIRTS_AVGPAID_1300_1400_ANNUAL2026.xlsx / 默认 / 第327行 / SHA256 bd4dae1e08e9eca7ddd0669235bf59107cdc418b9c2898fc16f36a7ab5748692</x:v>
      </x:c>
    </x:row>
    <x:row r="508" ht="58" customHeight="1">
      <x:c r="A508" s="23" t="str">
        <x:v>903671716068</x:v>
      </x:c>
      <x:c r="B508" s="22"/>
      <x:c r="C508" s="22"/>
      <x:c r="D508" s="22"/>
      <x:c r="E508" s="9" t="str">
        <x:v>裙长未明确</x:v>
      </x:c>
      <x:c r="F508" s="9" t="str">
        <x:v>裙装</x:v>
      </x:c>
      <x:c r="G508" s="9" t="str">
        <x:v>半身裙</x:v>
      </x:c>
      <x:c r="H508" s="9" t="str">
        <x:v>女</x:v>
      </x:c>
      <x:c r="I508" s="9" t="str">
        <x:v>【蝶恋花境】Koradior珂莱蒂尔商场同款25夏度假风精致碎花半身裙</x:v>
      </x:c>
      <x:c r="J508" s="9" t="str">
        <x:v>KORADIOR/珂莱蒂尔</x:v>
      </x:c>
      <x:c r="K508" s="24" t="n">
        <x:v>1354.37</x:v>
      </x:c>
      <x:c r="L508" s="25" t="e">
        <x:f>HYPERLINK("https://item.taobao.com/item.htm?id=903671716068","打开商品")</x:f>
        <x:v>HYPERLINK is not implemented. linkLocation=https://item.taobao.com/item.htm?id=903671716068, friendlyName=打开商品</x:v>
      </x:c>
      <x:c r="M508" s="25" t="e">
        <x:f>HYPERLINK("https://data.zhiyitech.cn/itemDetail/overview/base?itemId=903671716068","打开知衣")</x:f>
        <x:v>HYPERLINK is not implemented. linkLocation=https://data.zhiyitech.cn/itemDetail/overview/base?itemId=903671716068, friendlyName=打开知衣</x:v>
      </x:c>
      <x:c r="N508" s="25" t="e">
        <x:f>HYPERLINK("https://img.alicdn.com/bao/uploaded/i1/2216420997155/O1CN018ivSzphnKBC1chua-2216420997155.jpg","查看主图")</x:f>
        <x:v>HYPERLINK is not implemented. linkLocation=https://img.alicdn.com/bao/uploaded/i1/2216420997155/O1CN018ivSzphnKBC1chua-2216420997155.jpg, friendlyName=查看主图</x:v>
      </x:c>
      <x:c r="O508" s="9" t="str">
        <x:v>标题及既有类目语义复核；【蝶恋花境】Koradior珂莱蒂尔商场同款25夏度假风精致碎花半身裙；原类目及标题已能确认半身裙；展示使用已知大类，未知裙长下沉到结构字段，不强猜长短。</x:v>
      </x:c>
      <x:c r="P508" s="9" t="str">
        <x:v>普通男女装</x:v>
      </x:c>
      <x:c r="Q508" s="9" t="str">
        <x:v>W_SKIRTS_AVGPAID_1300_1400_ANNUAL2026.xlsx</x:v>
      </x:c>
      <x:c r="R508" s="9" t="str">
        <x:v>默认</x:v>
      </x:c>
      <x:c r="S508" s="9" t="n">
        <x:v>388</x:v>
      </x:c>
      <x:c r="T508" s="9" t="str">
        <x:v>bd4dae1e08e9eca7ddd0669235bf59107cdc418b9c2898fc16f36a7ab5748692</x:v>
      </x:c>
      <x:c r="U508" s="9" t="str">
        <x:v>W_SKIRTS_AVGPAID_1300_1400_ANNUAL2026</x:v>
      </x:c>
      <x:c r="V508" s="9" t="str">
        <x:v>W_SKIRTS_AVGPAID_1300_1400_ANNUAL2026.xlsx / 默认 / 第388行 / SHA256 bd4dae1e08e9eca7ddd0669235bf59107cdc418b9c2898fc16f36a7ab5748692</x:v>
      </x:c>
    </x:row>
    <x:row r="509" ht="58" customHeight="1">
      <x:c r="A509" s="23" t="str">
        <x:v>908497271951</x:v>
      </x:c>
      <x:c r="B509" s="22"/>
      <x:c r="C509" s="22"/>
      <x:c r="D509" s="22"/>
      <x:c r="E509" s="9" t="str">
        <x:v>裙长未明确</x:v>
      </x:c>
      <x:c r="F509" s="9" t="str">
        <x:v>裙装</x:v>
      </x:c>
      <x:c r="G509" s="9" t="str">
        <x:v>半身裙</x:v>
      </x:c>
      <x:c r="H509" s="9" t="str">
        <x:v>女</x:v>
      </x:c>
      <x:c r="I509" s="9" t="str">
        <x:v>【蝶恋花境】Koradior珂莱蒂尔商场同款2025夏度假风碎花半身裙女</x:v>
      </x:c>
      <x:c r="J509" s="9" t="str">
        <x:v>KORADIOR/珂莱蒂尔</x:v>
      </x:c>
      <x:c r="K509" s="24" t="n">
        <x:v>1307.25</x:v>
      </x:c>
      <x:c r="L509" s="25" t="e">
        <x:f>HYPERLINK("https://item.taobao.com/item.htm?id=908497271951","打开商品")</x:f>
        <x:v>HYPERLINK is not implemented. linkLocation=https://item.taobao.com/item.htm?id=908497271951, friendlyName=打开商品</x:v>
      </x:c>
      <x:c r="M509" s="25" t="e">
        <x:f>HYPERLINK("https://data.zhiyitech.cn/itemDetail/overview/base?itemId=908497271951","打开知衣")</x:f>
        <x:v>HYPERLINK is not implemented. linkLocation=https://data.zhiyitech.cn/itemDetail/overview/base?itemId=908497271951, friendlyName=打开知衣</x:v>
      </x:c>
      <x:c r="N509" s="25" t="e">
        <x:f>HYPERLINK("https://img.alicdn.com/bao/uploaded/i4/2216420997155/O1CN01ZrZTC022j30HAuKVR-2216420997155.jpg","查看主图")</x:f>
        <x:v>HYPERLINK is not implemented. linkLocation=https://img.alicdn.com/bao/uploaded/i4/2216420997155/O1CN01ZrZTC022j30HAuKVR-2216420997155.jpg, friendlyName=查看主图</x:v>
      </x:c>
      <x:c r="O509" s="9" t="str">
        <x:v>标题及既有类目语义复核；【蝶恋花境】Koradior珂莱蒂尔商场同款2025夏度假风碎花半身裙女；原类目及标题已能确认半身裙；展示使用已知大类，未知裙长下沉到结构字段，不强猜长短。</x:v>
      </x:c>
      <x:c r="P509" s="9" t="str">
        <x:v>普通男女装</x:v>
      </x:c>
      <x:c r="Q509" s="9" t="str">
        <x:v>W_SKIRTS_AVGPAID_1300_1400_ANNUAL2026.xlsx</x:v>
      </x:c>
      <x:c r="R509" s="9" t="str">
        <x:v>默认</x:v>
      </x:c>
      <x:c r="S509" s="9" t="n">
        <x:v>428</x:v>
      </x:c>
      <x:c r="T509" s="9" t="str">
        <x:v>bd4dae1e08e9eca7ddd0669235bf59107cdc418b9c2898fc16f36a7ab5748692</x:v>
      </x:c>
      <x:c r="U509" s="9" t="str">
        <x:v>W_SKIRTS_AVGPAID_1300_1400_ANNUAL2026</x:v>
      </x:c>
      <x:c r="V509" s="9" t="str">
        <x:v>W_SKIRTS_AVGPAID_1300_1400_ANNUAL2026.xlsx / 默认 / 第428行 / SHA256 bd4dae1e08e9eca7ddd0669235bf59107cdc418b9c2898fc16f36a7ab5748692</x:v>
      </x:c>
    </x:row>
    <x:row r="510" ht="58" customHeight="1">
      <x:c r="A510" s="23" t="str">
        <x:v>919014065803</x:v>
      </x:c>
      <x:c r="B510" s="22"/>
      <x:c r="C510" s="22"/>
      <x:c r="D510" s="22"/>
      <x:c r="E510" s="9" t="str">
        <x:v>裙长未明确</x:v>
      </x:c>
      <x:c r="F510" s="9" t="str">
        <x:v>裙装</x:v>
      </x:c>
      <x:c r="G510" s="9" t="str">
        <x:v>半身裙</x:v>
      </x:c>
      <x:c r="H510" s="9" t="str">
        <x:v>女</x:v>
      </x:c>
      <x:c r="I510" s="9" t="str">
        <x:v>【100桑蚕丝】Koradior珂莱蒂尔商场同款2025夏度假风玫瑰半身裙</x:v>
      </x:c>
      <x:c r="J510" s="9" t="str">
        <x:v>KORADIOR/珂莱蒂尔</x:v>
      </x:c>
      <x:c r="K510" s="24" t="n">
        <x:v>1782.16</x:v>
      </x:c>
      <x:c r="L510" s="25" t="e">
        <x:f>HYPERLINK("https://item.taobao.com/item.htm?id=919014065803","打开商品")</x:f>
        <x:v>HYPERLINK is not implemented. linkLocation=https://item.taobao.com/item.htm?id=919014065803, friendlyName=打开商品</x:v>
      </x:c>
      <x:c r="M510" s="25" t="e">
        <x:f>HYPERLINK("https://data.zhiyitech.cn/itemDetail/overview/base?itemId=919014065803","打开知衣")</x:f>
        <x:v>HYPERLINK is not implemented. linkLocation=https://data.zhiyitech.cn/itemDetail/overview/base?itemId=919014065803, friendlyName=打开知衣</x:v>
      </x:c>
      <x:c r="N510" s="25" t="e">
        <x:f>HYPERLINK("https://img.alicdn.com/bao/uploaded/i4/2216420997155/O1CN01UthHSX9L5tG1chua-2216420997155.jpg","查看主图")</x:f>
        <x:v>HYPERLINK is not implemented. linkLocation=https://img.alicdn.com/bao/uploaded/i4/2216420997155/O1CN01UthHSX9L5tG1chua-2216420997155.jpg, friendlyName=查看主图</x:v>
      </x:c>
      <x:c r="O510" s="9" t="str">
        <x:v>标题及既有类目语义复核；【100桑蚕丝】Koradior珂莱蒂尔商场同款2025夏度假风玫瑰半身裙；原类目及标题已能确认半身裙；展示使用已知大类，未知裙长下沉到结构字段，不强猜长短。</x:v>
      </x:c>
      <x:c r="P510" s="9" t="str">
        <x:v>普通男女装</x:v>
      </x:c>
      <x:c r="Q510" s="9" t="str">
        <x:v>W_SKIRTS_AVGPAID_1700_1800_ANNUAL2026.xlsx</x:v>
      </x:c>
      <x:c r="R510" s="9" t="str">
        <x:v>默认</x:v>
      </x:c>
      <x:c r="S510" s="9" t="n">
        <x:v>251</x:v>
      </x:c>
      <x:c r="T510" s="9" t="str">
        <x:v>c25ed77c53c7c5cfcf728778a0e9b297d8689503f62756a939cbd534ca9b587a</x:v>
      </x:c>
      <x:c r="U510" s="9" t="str">
        <x:v>W_SKIRTS_AVGPAID_1700_1800_ANNUAL2026</x:v>
      </x:c>
      <x:c r="V510" s="9" t="str">
        <x:v>W_SKIRTS_AVGPAID_1700_1800_ANNUAL2026.xlsx / 默认 / 第251行 / SHA256 c25ed77c53c7c5cfcf728778a0e9b297d8689503f62756a939cbd534ca9b587a</x:v>
      </x:c>
    </x:row>
    <x:row r="511" ht="58" customHeight="1">
      <x:c r="A511" s="23" t="str">
        <x:v>926853245398</x:v>
      </x:c>
      <x:c r="B511" s="22"/>
      <x:c r="C511" s="22"/>
      <x:c r="D511" s="22"/>
      <x:c r="E511" s="9" t="str">
        <x:v>裙长未明确</x:v>
      </x:c>
      <x:c r="F511" s="9" t="str">
        <x:v>裙装</x:v>
      </x:c>
      <x:c r="G511" s="9" t="str">
        <x:v>半身裙</x:v>
      </x:c>
      <x:c r="H511" s="9" t="str">
        <x:v>女</x:v>
      </x:c>
      <x:c r="I511" s="9" t="str">
        <x:v>【100桑蚕丝 玫瑰裙】珂莱蒂尔春浪漫法式碎花a字半身裙女</x:v>
      </x:c>
      <x:c r="J511" s="9" t="str">
        <x:v>KORADIOR/珂莱蒂尔</x:v>
      </x:c>
      <x:c r="K511" s="24" t="n">
        <x:v>1714.9</x:v>
      </x:c>
      <x:c r="L511" s="25" t="e">
        <x:f>HYPERLINK("https://item.taobao.com/item.htm?id=926853245398","打开商品")</x:f>
        <x:v>HYPERLINK is not implemented. linkLocation=https://item.taobao.com/item.htm?id=926853245398, friendlyName=打开商品</x:v>
      </x:c>
      <x:c r="M511" s="25" t="e">
        <x:f>HYPERLINK("https://data.zhiyitech.cn/itemDetail/overview/base?itemId=926853245398","打开知衣")</x:f>
        <x:v>HYPERLINK is not implemented. linkLocation=https://data.zhiyitech.cn/itemDetail/overview/base?itemId=926853245398, friendlyName=打开知衣</x:v>
      </x:c>
      <x:c r="N511" s="25" t="e">
        <x:f>HYPERLINK("https://img.alicdn.com/bao/uploaded/i3/692195348/O1CN01W4OGZyoaAfB2R3rs_!!692195348.jpg","查看主图")</x:f>
        <x:v>HYPERLINK is not implemented. linkLocation=https://img.alicdn.com/bao/uploaded/i3/692195348/O1CN01W4OGZyoaAfB2R3rs_!!692195348.jpg, friendlyName=查看主图</x:v>
      </x:c>
      <x:c r="O511" s="9" t="str">
        <x:v>标题及既有类目语义复核；【100桑蚕丝 玫瑰裙】珂莱蒂尔春浪漫法式碎花a字半身裙女；原类目及标题已能确认半身裙；展示使用已知大类，未知裙长下沉到结构字段，不强猜长短。</x:v>
      </x:c>
      <x:c r="P511" s="9" t="str">
        <x:v>普通男女装</x:v>
      </x:c>
      <x:c r="Q511" s="9" t="str">
        <x:v>W_SKIRTS_AVGPAID_1700_1800_ANNUAL2026.xlsx</x:v>
      </x:c>
      <x:c r="R511" s="9" t="str">
        <x:v>默认</x:v>
      </x:c>
      <x:c r="S511" s="9" t="n">
        <x:v>413</x:v>
      </x:c>
      <x:c r="T511" s="9" t="str">
        <x:v>c25ed77c53c7c5cfcf728778a0e9b297d8689503f62756a939cbd534ca9b587a</x:v>
      </x:c>
      <x:c r="U511" s="9" t="str">
        <x:v>W_SKIRTS_AVGPAID_1700_1800_ANNUAL2026</x:v>
      </x:c>
      <x:c r="V511" s="9" t="str">
        <x:v>W_SKIRTS_AVGPAID_1700_1800_ANNUAL2026.xlsx / 默认 / 第413行 / SHA256 c25ed77c53c7c5cfcf728778a0e9b297d8689503f62756a939cbd534ca9b587a</x:v>
      </x:c>
    </x:row>
    <x:row r="512" ht="58" customHeight="1">
      <x:c r="A512" s="23" t="str">
        <x:v>944126006140</x:v>
      </x:c>
      <x:c r="B512" s="22"/>
      <x:c r="C512" s="22"/>
      <x:c r="D512" s="22"/>
      <x:c r="E512" s="9" t="str">
        <x:v>裙长未明确</x:v>
      </x:c>
      <x:c r="F512" s="9" t="str">
        <x:v>裙装</x:v>
      </x:c>
      <x:c r="G512" s="9" t="str">
        <x:v>半身裙</x:v>
      </x:c>
      <x:c r="H512" s="9" t="str">
        <x:v>女</x:v>
      </x:c>
      <x:c r="I512" s="9" t="str">
        <x:v>【羊毛】Koradior珂莱蒂尔商场同款25年秋新款灰色显瘦百褶半身裙</x:v>
      </x:c>
      <x:c r="J512" s="9" t="str">
        <x:v>KORADIOR/珂莱蒂尔</x:v>
      </x:c>
      <x:c r="K512" s="24" t="n">
        <x:v>1598.49</x:v>
      </x:c>
      <x:c r="L512" s="25" t="e">
        <x:f>HYPERLINK("https://item.taobao.com/item.htm?id=944126006140","打开商品")</x:f>
        <x:v>HYPERLINK is not implemented. linkLocation=https://item.taobao.com/item.htm?id=944126006140, friendlyName=打开商品</x:v>
      </x:c>
      <x:c r="M512" s="25" t="e">
        <x:f>HYPERLINK("https://data.zhiyitech.cn/itemDetail/overview/base?itemId=944126006140","打开知衣")</x:f>
        <x:v>HYPERLINK is not implemented. linkLocation=https://data.zhiyitech.cn/itemDetail/overview/base?itemId=944126006140, friendlyName=打开知衣</x:v>
      </x:c>
      <x:c r="N512" s="25" t="e">
        <x:f>HYPERLINK("https://img.alicdn.com/bao/uploaded/i4/2216420997155/O1CN01vgbyLS9JwRB1chua-2216420997155.jpg","查看主图")</x:f>
        <x:v>HYPERLINK is not implemented. linkLocation=https://img.alicdn.com/bao/uploaded/i4/2216420997155/O1CN01vgbyLS9JwRB1chua-2216420997155.jpg, friendlyName=查看主图</x:v>
      </x:c>
      <x:c r="O512" s="9" t="str">
        <x:v>标题及既有类目语义复核；【羊毛】Koradior珂莱蒂尔商场同款25年秋新款灰色显瘦百褶半身裙；原类目及标题已能确认半身裙；展示使用已知大类，未知裙长下沉到结构字段，不强猜长短。</x:v>
      </x:c>
      <x:c r="P512" s="9" t="str">
        <x:v>普通男女装</x:v>
      </x:c>
      <x:c r="Q512" s="9" t="str">
        <x:v>W_SKIRTS_AVGPAID_1500_1600_ANNUAL2026.xlsx</x:v>
      </x:c>
      <x:c r="R512" s="9" t="str">
        <x:v>默认</x:v>
      </x:c>
      <x:c r="S512" s="9" t="n">
        <x:v>349</x:v>
      </x:c>
      <x:c r="T512" s="9" t="str">
        <x:v>deede8b56943df4f914be45dba170f12e69064023d6ef0e88dbde1764f6ba23e</x:v>
      </x:c>
      <x:c r="U512" s="9" t="str">
        <x:v>W_SKIRTS_AVGPAID_1500_1600_ANNUAL2026</x:v>
      </x:c>
      <x:c r="V512" s="9" t="str">
        <x:v>W_SKIRTS_AVGPAID_1500_1600_ANNUAL2026.xlsx / 默认 / 第349行 / SHA256 deede8b56943df4f914be45dba170f12e69064023d6ef0e88dbde1764f6ba23e</x:v>
      </x:c>
    </x:row>
    <x:row r="513" ht="58" customHeight="1">
      <x:c r="A513" s="23" t="str">
        <x:v>960252792132</x:v>
      </x:c>
      <x:c r="B513" s="22"/>
      <x:c r="C513" s="22"/>
      <x:c r="D513" s="22"/>
      <x:c r="E513" s="9" t="str">
        <x:v>裙长未明确</x:v>
      </x:c>
      <x:c r="F513" s="9" t="str">
        <x:v>裙装</x:v>
      </x:c>
      <x:c r="G513" s="9" t="str">
        <x:v>半身裙</x:v>
      </x:c>
      <x:c r="H513" s="9" t="str">
        <x:v>女</x:v>
      </x:c>
      <x:c r="I513" s="9" t="str">
        <x:v>【丝绒】Koradior珂莱蒂尔商场同款2025秋季新款精致烫钻半身裙女</x:v>
      </x:c>
      <x:c r="J513" s="9" t="str">
        <x:v>KORADIOR/珂莱蒂尔</x:v>
      </x:c>
      <x:c r="K513" s="24" t="n">
        <x:v>1700.75</x:v>
      </x:c>
      <x:c r="L513" s="25" t="e">
        <x:f>HYPERLINK("https://item.taobao.com/item.htm?id=960252792132","打开商品")</x:f>
        <x:v>HYPERLINK is not implemented. linkLocation=https://item.taobao.com/item.htm?id=960252792132, friendlyName=打开商品</x:v>
      </x:c>
      <x:c r="M513" s="25" t="e">
        <x:f>HYPERLINK("https://data.zhiyitech.cn/itemDetail/overview/base?itemId=960252792132","打开知衣")</x:f>
        <x:v>HYPERLINK is not implemented. linkLocation=https://data.zhiyitech.cn/itemDetail/overview/base?itemId=960252792132, friendlyName=打开知衣</x:v>
      </x:c>
      <x:c r="N513" s="25" t="e">
        <x:f>HYPERLINK("https://img.alicdn.com/bao/uploaded/i4/2216420997155/O1CN01njIyUnhApHD1chua-2216420997155.jpg","查看主图")</x:f>
        <x:v>HYPERLINK is not implemented. linkLocation=https://img.alicdn.com/bao/uploaded/i4/2216420997155/O1CN01njIyUnhApHD1chua-2216420997155.jpg, friendlyName=查看主图</x:v>
      </x:c>
      <x:c r="O513" s="9" t="str">
        <x:v>标题及既有类目语义复核；【丝绒】Koradior珂莱蒂尔商场同款2025秋季新款精致烫钻半身裙女；原类目及标题已能确认半身裙；展示使用已知大类，未知裙长下沉到结构字段，不强猜长短。</x:v>
      </x:c>
      <x:c r="P513" s="9" t="str">
        <x:v>普通男女装</x:v>
      </x:c>
      <x:c r="Q513" s="9" t="str">
        <x:v>W_SKIRTS_AVGPAID_1700_1800_ANNUAL2026.xlsx</x:v>
      </x:c>
      <x:c r="R513" s="9" t="str">
        <x:v>默认</x:v>
      </x:c>
      <x:c r="S513" s="9" t="n">
        <x:v>205</x:v>
      </x:c>
      <x:c r="T513" s="9" t="str">
        <x:v>c25ed77c53c7c5cfcf728778a0e9b297d8689503f62756a939cbd534ca9b587a</x:v>
      </x:c>
      <x:c r="U513" s="9" t="str">
        <x:v>W_SKIRTS_AVGPAID_1700_1800_ANNUAL2026</x:v>
      </x:c>
      <x:c r="V513" s="9" t="str">
        <x:v>W_SKIRTS_AVGPAID_1700_1800_ANNUAL2026.xlsx / 默认 / 第205行 / SHA256 c25ed77c53c7c5cfcf728778a0e9b297d8689503f62756a939cbd534ca9b587a</x:v>
      </x:c>
    </x:row>
    <x:row r="514" ht="58" customHeight="1">
      <x:c r="A514" s="23" t="str">
        <x:v>965087308074</x:v>
      </x:c>
      <x:c r="B514" s="22"/>
      <x:c r="C514" s="22"/>
      <x:c r="D514" s="22"/>
      <x:c r="E514" s="9" t="str">
        <x:v>裙长未明确</x:v>
      </x:c>
      <x:c r="F514" s="9" t="str">
        <x:v>裙装</x:v>
      </x:c>
      <x:c r="G514" s="9" t="str">
        <x:v>半身裙</x:v>
      </x:c>
      <x:c r="H514" s="9" t="str">
        <x:v>女</x:v>
      </x:c>
      <x:c r="I514" s="9" t="str">
        <x:v>【珠片花纱】Koradior珂莱蒂尔商场同款2025秋季精致格蕾灰半身裙</x:v>
      </x:c>
      <x:c r="J514" s="9" t="str">
        <x:v>KORADIOR/珂莱蒂尔</x:v>
      </x:c>
      <x:c r="K514" s="24" t="n">
        <x:v>1522.89</x:v>
      </x:c>
      <x:c r="L514" s="25" t="e">
        <x:f>HYPERLINK("https://item.taobao.com/item.htm?id=965087308074","打开商品")</x:f>
        <x:v>HYPERLINK is not implemented. linkLocation=https://item.taobao.com/item.htm?id=965087308074, friendlyName=打开商品</x:v>
      </x:c>
      <x:c r="M514" s="25" t="e">
        <x:f>HYPERLINK("https://data.zhiyitech.cn/itemDetail/overview/base?itemId=965087308074","打开知衣")</x:f>
        <x:v>HYPERLINK is not implemented. linkLocation=https://data.zhiyitech.cn/itemDetail/overview/base?itemId=965087308074, friendlyName=打开知衣</x:v>
      </x:c>
      <x:c r="N514" s="25" t="e">
        <x:f>HYPERLINK("https://img.alicdn.com/bao/uploaded/i1/2216420997155/O1CN01hKaa6LvOeVF1chua-2216420997155.jpg","查看主图")</x:f>
        <x:v>HYPERLINK is not implemented. linkLocation=https://img.alicdn.com/bao/uploaded/i1/2216420997155/O1CN01hKaa6LvOeVF1chua-2216420997155.jpg, friendlyName=查看主图</x:v>
      </x:c>
      <x:c r="O514" s="9" t="str">
        <x:v>标题及既有类目语义复核；【珠片花纱】Koradior珂莱蒂尔商场同款2025秋季精致格蕾灰半身裙；原类目及标题已能确认半身裙；展示使用已知大类，未知裙长下沉到结构字段，不强猜长短。</x:v>
      </x:c>
      <x:c r="P514" s="9" t="str">
        <x:v>普通男女装</x:v>
      </x:c>
      <x:c r="Q514" s="9" t="str">
        <x:v>W_SKIRTS_AVGPAID_1500_1600_ANNUAL2026.xlsx</x:v>
      </x:c>
      <x:c r="R514" s="9" t="str">
        <x:v>默认</x:v>
      </x:c>
      <x:c r="S514" s="9" t="n">
        <x:v>187</x:v>
      </x:c>
      <x:c r="T514" s="9" t="str">
        <x:v>deede8b56943df4f914be45dba170f12e69064023d6ef0e88dbde1764f6ba23e</x:v>
      </x:c>
      <x:c r="U514" s="9" t="str">
        <x:v>W_SKIRTS_AVGPAID_1500_1600_ANNUAL2026</x:v>
      </x:c>
      <x:c r="V514" s="9" t="str">
        <x:v>W_SKIRTS_AVGPAID_1500_1600_ANNUAL2026.xlsx / 默认 / 第187行 / SHA256 deede8b56943df4f914be45dba170f12e69064023d6ef0e88dbde1764f6ba23e</x:v>
      </x:c>
    </x:row>
    <x:row r="515" ht="58" customHeight="1">
      <x:c r="A515" s="23" t="str">
        <x:v>967940140730</x:v>
      </x:c>
      <x:c r="B515" s="22"/>
      <x:c r="C515" s="22"/>
      <x:c r="D515" s="22"/>
      <x:c r="E515" s="9" t="str">
        <x:v>裙长未明确</x:v>
      </x:c>
      <x:c r="F515" s="9" t="str">
        <x:v>裙装</x:v>
      </x:c>
      <x:c r="G515" s="9" t="str">
        <x:v>半身裙</x:v>
      </x:c>
      <x:c r="H515" s="9" t="str">
        <x:v>女</x:v>
      </x:c>
      <x:c r="I515" s="9" t="str">
        <x:v>【丝绒】Koradior珂莱蒂尔商场同款2025秋新款气质精致烫钻半身裙</x:v>
      </x:c>
      <x:c r="J515" s="9" t="str">
        <x:v>KORADIOR/珂莱蒂尔</x:v>
      </x:c>
      <x:c r="K515" s="24" t="n">
        <x:v>1749.66</x:v>
      </x:c>
      <x:c r="L515" s="25" t="e">
        <x:f>HYPERLINK("https://item.taobao.com/item.htm?id=967940140730","打开商品")</x:f>
        <x:v>HYPERLINK is not implemented. linkLocation=https://item.taobao.com/item.htm?id=967940140730, friendlyName=打开商品</x:v>
      </x:c>
      <x:c r="M515" s="25" t="e">
        <x:f>HYPERLINK("https://data.zhiyitech.cn/itemDetail/overview/base?itemId=967940140730","打开知衣")</x:f>
        <x:v>HYPERLINK is not implemented. linkLocation=https://data.zhiyitech.cn/itemDetail/overview/base?itemId=967940140730, friendlyName=打开知衣</x:v>
      </x:c>
      <x:c r="N515" s="25" t="e">
        <x:f>HYPERLINK("https://img.alicdn.com/bao/uploaded/i1/2216420997155/O1CN01Qp618g9BFOF1chua-2216420997155.jpg","查看主图")</x:f>
        <x:v>HYPERLINK is not implemented. linkLocation=https://img.alicdn.com/bao/uploaded/i1/2216420997155/O1CN01Qp618g9BFOF1chua-2216420997155.jpg, friendlyName=查看主图</x:v>
      </x:c>
      <x:c r="O515" s="9" t="str">
        <x:v>标题及既有类目语义复核；【丝绒】Koradior珂莱蒂尔商场同款2025秋新款气质精致烫钻半身裙；原类目及标题已能确认半身裙；展示使用已知大类，未知裙长下沉到结构字段，不强猜长短。</x:v>
      </x:c>
      <x:c r="P515" s="9" t="str">
        <x:v>普通男女装</x:v>
      </x:c>
      <x:c r="Q515" s="9" t="str">
        <x:v>W_SKIRTS_AVGPAID_1700_1800_ANNUAL2026.xlsx</x:v>
      </x:c>
      <x:c r="R515" s="9" t="str">
        <x:v>默认</x:v>
      </x:c>
      <x:c r="S515" s="9" t="n">
        <x:v>315</x:v>
      </x:c>
      <x:c r="T515" s="9" t="str">
        <x:v>c25ed77c53c7c5cfcf728778a0e9b297d8689503f62756a939cbd534ca9b587a</x:v>
      </x:c>
      <x:c r="U515" s="9" t="str">
        <x:v>W_SKIRTS_AVGPAID_1700_1800_ANNUAL2026</x:v>
      </x:c>
      <x:c r="V515" s="9" t="str">
        <x:v>W_SKIRTS_AVGPAID_1700_1800_ANNUAL2026.xlsx / 默认 / 第315行 / SHA256 c25ed77c53c7c5cfcf728778a0e9b297d8689503f62756a939cbd534ca9b587a</x:v>
      </x:c>
    </x:row>
    <x:row r="516" ht="58" customHeight="1">
      <x:c r="A516" s="23" t="str">
        <x:v>969241962627</x:v>
      </x:c>
      <x:c r="B516" s="22"/>
      <x:c r="C516" s="22"/>
      <x:c r="D516" s="22"/>
      <x:c r="E516" s="9" t="str">
        <x:v>裙长未明确</x:v>
      </x:c>
      <x:c r="F516" s="9" t="str">
        <x:v>裙装</x:v>
      </x:c>
      <x:c r="G516" s="9" t="str">
        <x:v>半身裙</x:v>
      </x:c>
      <x:c r="H516" s="9" t="str">
        <x:v>女</x:v>
      </x:c>
      <x:c r="I516" s="9" t="str">
        <x:v>【绵羊毛】Koradior珂莱蒂尔商场同款秋经典黑气质优雅毛呢半身裙</x:v>
      </x:c>
      <x:c r="J516" s="9" t="str">
        <x:v>KORADIOR/珂莱蒂尔</x:v>
      </x:c>
      <x:c r="K516" s="24" t="n">
        <x:v>1758.36</x:v>
      </x:c>
      <x:c r="L516" s="25" t="e">
        <x:f>HYPERLINK("https://item.taobao.com/item.htm?id=969241962627","打开商品")</x:f>
        <x:v>HYPERLINK is not implemented. linkLocation=https://item.taobao.com/item.htm?id=969241962627, friendlyName=打开商品</x:v>
      </x:c>
      <x:c r="M516" s="25" t="e">
        <x:f>HYPERLINK("https://data.zhiyitech.cn/itemDetail/overview/base?itemId=969241962627","打开知衣")</x:f>
        <x:v>HYPERLINK is not implemented. linkLocation=https://data.zhiyitech.cn/itemDetail/overview/base?itemId=969241962627, friendlyName=打开知衣</x:v>
      </x:c>
      <x:c r="N516" s="25" t="e">
        <x:f>HYPERLINK("https://img.alicdn.com/bao/uploaded/i3/2216420997155/O1CN01R5HrlxGzy7H1chua-2216420997155.jpg","查看主图")</x:f>
        <x:v>HYPERLINK is not implemented. linkLocation=https://img.alicdn.com/bao/uploaded/i3/2216420997155/O1CN01R5HrlxGzy7H1chua-2216420997155.jpg, friendlyName=查看主图</x:v>
      </x:c>
      <x:c r="O516" s="9" t="str">
        <x:v>标题及既有类目语义复核；【绵羊毛】Koradior珂莱蒂尔商场同款秋经典黑气质优雅毛呢半身裙；原类目及标题已能确认半身裙；展示使用已知大类，未知裙长下沉到结构字段，不强猜长短。</x:v>
      </x:c>
      <x:c r="P516" s="9" t="str">
        <x:v>普通男女装</x:v>
      </x:c>
      <x:c r="Q516" s="9" t="str">
        <x:v>W_SKIRTS_AVGPAID_1700_1800_ANNUAL2026.xlsx</x:v>
      </x:c>
      <x:c r="R516" s="9" t="str">
        <x:v>默认</x:v>
      </x:c>
      <x:c r="S516" s="9" t="n">
        <x:v>248</x:v>
      </x:c>
      <x:c r="T516" s="9" t="str">
        <x:v>c25ed77c53c7c5cfcf728778a0e9b297d8689503f62756a939cbd534ca9b587a</x:v>
      </x:c>
      <x:c r="U516" s="9" t="str">
        <x:v>W_SKIRTS_AVGPAID_1700_1800_ANNUAL2026</x:v>
      </x:c>
      <x:c r="V516" s="9" t="str">
        <x:v>W_SKIRTS_AVGPAID_1700_1800_ANNUAL2026.xlsx / 默认 / 第248行 / SHA256 c25ed77c53c7c5cfcf728778a0e9b297d8689503f62756a939cbd534ca9b587a</x:v>
      </x:c>
    </x:row>
    <x:row r="517" ht="58" customHeight="1">
      <x:c r="A517" s="23" t="str">
        <x:v>969865137811</x:v>
      </x:c>
      <x:c r="B517" s="22"/>
      <x:c r="C517" s="22"/>
      <x:c r="D517" s="22"/>
      <x:c r="E517" s="9" t="str">
        <x:v>裙长未明确</x:v>
      </x:c>
      <x:c r="F517" s="9" t="str">
        <x:v>裙装</x:v>
      </x:c>
      <x:c r="G517" s="9" t="str">
        <x:v>半身裙</x:v>
      </x:c>
      <x:c r="H517" s="9" t="str">
        <x:v>女</x:v>
      </x:c>
      <x:c r="I517" s="9" t="str">
        <x:v>【辛芷蕾同款】Koradior珂莱蒂尔商场同款2025冬精致绵羊毛半身裙</x:v>
      </x:c>
      <x:c r="J517" s="9" t="str">
        <x:v>KORADIOR/珂莱蒂尔</x:v>
      </x:c>
      <x:c r="K517" s="24" t="n">
        <x:v>1536.93</x:v>
      </x:c>
      <x:c r="L517" s="25" t="e">
        <x:f>HYPERLINK("https://item.taobao.com/item.htm?id=969865137811","打开商品")</x:f>
        <x:v>HYPERLINK is not implemented. linkLocation=https://item.taobao.com/item.htm?id=969865137811, friendlyName=打开商品</x:v>
      </x:c>
      <x:c r="M517" s="25" t="e">
        <x:f>HYPERLINK("https://data.zhiyitech.cn/itemDetail/overview/base?itemId=969865137811","打开知衣")</x:f>
        <x:v>HYPERLINK is not implemented. linkLocation=https://data.zhiyitech.cn/itemDetail/overview/base?itemId=969865137811, friendlyName=打开知衣</x:v>
      </x:c>
      <x:c r="N517" s="25" t="e">
        <x:f>HYPERLINK("https://img.alicdn.com/bao/uploaded/i3/2216420997155/O1CN01sH5JL3D18OK1chua-2216420997155.jpg","查看主图")</x:f>
        <x:v>HYPERLINK is not implemented. linkLocation=https://img.alicdn.com/bao/uploaded/i3/2216420997155/O1CN01sH5JL3D18OK1chua-2216420997155.jpg, friendlyName=查看主图</x:v>
      </x:c>
      <x:c r="O517" s="9" t="str">
        <x:v>标题及既有类目语义复核；【辛芷蕾同款】Koradior珂莱蒂尔商场同款2025冬精致绵羊毛半身裙；原类目及标题已能确认半身裙；展示使用已知大类，未知裙长下沉到结构字段，不强猜长短。</x:v>
      </x:c>
      <x:c r="P517" s="9" t="str">
        <x:v>普通男女装</x:v>
      </x:c>
      <x:c r="Q517" s="9" t="str">
        <x:v>W_SKIRTS_AVGPAID_1500_1600_ANNUAL2026.xlsx</x:v>
      </x:c>
      <x:c r="R517" s="9" t="str">
        <x:v>默认</x:v>
      </x:c>
      <x:c r="S517" s="9" t="n">
        <x:v>16</x:v>
      </x:c>
      <x:c r="T517" s="9" t="str">
        <x:v>deede8b56943df4f914be45dba170f12e69064023d6ef0e88dbde1764f6ba23e</x:v>
      </x:c>
      <x:c r="U517" s="9" t="str">
        <x:v>W_SKIRTS_AVGPAID_1500_1600_ANNUAL2026</x:v>
      </x:c>
      <x:c r="V517" s="9" t="str">
        <x:v>W_SKIRTS_AVGPAID_1500_1600_ANNUAL2026.xlsx / 默认 / 第16行 / SHA256 deede8b56943df4f914be45dba170f12e69064023d6ef0e88dbde1764f6ba23e</x:v>
      </x:c>
    </x:row>
    <x:row r="518" ht="58" customHeight="1">
      <x:c r="A518" s="23" t="str">
        <x:v>970493640051</x:v>
      </x:c>
      <x:c r="B518" s="22"/>
      <x:c r="C518" s="22"/>
      <x:c r="D518" s="22"/>
      <x:c r="E518" s="9" t="str">
        <x:v>裙长未明确</x:v>
      </x:c>
      <x:c r="F518" s="9" t="str">
        <x:v>裙装</x:v>
      </x:c>
      <x:c r="G518" s="9" t="str">
        <x:v>半身裙</x:v>
      </x:c>
      <x:c r="H518" s="9" t="str">
        <x:v>女</x:v>
      </x:c>
      <x:c r="I518" s="9" t="str">
        <x:v>Koradior珂莱蒂尔商场同款2025冬新款气质通勤黑色蕾丝花边半身裙</x:v>
      </x:c>
      <x:c r="J518" s="9" t="str">
        <x:v>KORADIOR/珂莱蒂尔</x:v>
      </x:c>
      <x:c r="K518" s="24" t="n">
        <x:v>1709.18</x:v>
      </x:c>
      <x:c r="L518" s="25" t="e">
        <x:f>HYPERLINK("https://item.taobao.com/item.htm?id=970493640051","打开商品")</x:f>
        <x:v>HYPERLINK is not implemented. linkLocation=https://item.taobao.com/item.htm?id=970493640051, friendlyName=打开商品</x:v>
      </x:c>
      <x:c r="M518" s="25" t="e">
        <x:f>HYPERLINK("https://data.zhiyitech.cn/itemDetail/overview/base?itemId=970493640051","打开知衣")</x:f>
        <x:v>HYPERLINK is not implemented. linkLocation=https://data.zhiyitech.cn/itemDetail/overview/base?itemId=970493640051, friendlyName=打开知衣</x:v>
      </x:c>
      <x:c r="N518" s="25" t="e">
        <x:f>HYPERLINK("https://img.alicdn.com/bao/uploaded/i1/2216420997155/O1CN01RwyHtvNU49J1chua-2216420997155.jpg","查看主图")</x:f>
        <x:v>HYPERLINK is not implemented. linkLocation=https://img.alicdn.com/bao/uploaded/i1/2216420997155/O1CN01RwyHtvNU49J1chua-2216420997155.jpg, friendlyName=查看主图</x:v>
      </x:c>
      <x:c r="O518" s="9" t="str">
        <x:v>标题及既有类目语义复核；Koradior珂莱蒂尔商场同款2025冬新款气质通勤黑色蕾丝花边半身裙；原类目及标题已能确认半身裙；展示使用已知大类，未知裙长下沉到结构字段，不强猜长短。</x:v>
      </x:c>
      <x:c r="P518" s="9" t="str">
        <x:v>普通男女装</x:v>
      </x:c>
      <x:c r="Q518" s="9" t="str">
        <x:v>W_SKIRTS_AVGPAID_1700_1800_ANNUAL2026.xlsx</x:v>
      </x:c>
      <x:c r="R518" s="9" t="str">
        <x:v>默认</x:v>
      </x:c>
      <x:c r="S518" s="9" t="n">
        <x:v>220</x:v>
      </x:c>
      <x:c r="T518" s="9" t="str">
        <x:v>c25ed77c53c7c5cfcf728778a0e9b297d8689503f62756a939cbd534ca9b587a</x:v>
      </x:c>
      <x:c r="U518" s="9" t="str">
        <x:v>W_SKIRTS_AVGPAID_1700_1800_ANNUAL2026</x:v>
      </x:c>
      <x:c r="V518" s="9" t="str">
        <x:v>W_SKIRTS_AVGPAID_1700_1800_ANNUAL2026.xlsx / 默认 / 第220行 / SHA256 c25ed77c53c7c5cfcf728778a0e9b297d8689503f62756a939cbd534ca9b587a</x:v>
      </x:c>
    </x:row>
    <x:row r="519" ht="58" customHeight="1">
      <x:c r="A519" s="23" t="str">
        <x:v>988419296094</x:v>
      </x:c>
      <x:c r="B519" s="22"/>
      <x:c r="C519" s="22"/>
      <x:c r="D519" s="22"/>
      <x:c r="E519" s="9" t="str">
        <x:v>裙长未明确</x:v>
      </x:c>
      <x:c r="F519" s="9" t="str">
        <x:v>裙装</x:v>
      </x:c>
      <x:c r="G519" s="9" t="str">
        <x:v>半身裙</x:v>
      </x:c>
      <x:c r="H519" s="9" t="str">
        <x:v>女</x:v>
      </x:c>
      <x:c r="I519" s="9" t="str">
        <x:v>【辛芷蕾同款】珂莱蒂尔新浪漫华丽风绵羊毛肌理感修身针织半身裙</x:v>
      </x:c>
      <x:c r="J519" s="9" t="str">
        <x:v>KORADIOR/珂莱蒂尔</x:v>
      </x:c>
      <x:c r="K519" s="24" t="n">
        <x:v>1542.77</x:v>
      </x:c>
      <x:c r="L519" s="25" t="e">
        <x:f>HYPERLINK("https://item.taobao.com/item.htm?id=988419296094","打开商品")</x:f>
        <x:v>HYPERLINK is not implemented. linkLocation=https://item.taobao.com/item.htm?id=988419296094, friendlyName=打开商品</x:v>
      </x:c>
      <x:c r="M519" s="25" t="e">
        <x:f>HYPERLINK("https://data.zhiyitech.cn/itemDetail/overview/base?itemId=988419296094","打开知衣")</x:f>
        <x:v>HYPERLINK is not implemented. linkLocation=https://data.zhiyitech.cn/itemDetail/overview/base?itemId=988419296094, friendlyName=打开知衣</x:v>
      </x:c>
      <x:c r="N519" s="25" t="e">
        <x:f>HYPERLINK("https://img.alicdn.com/bao/uploaded/i2/692195348/O1CN01fumUDY1pNRGhG6sOK_!!4611686018427383828-0-item_pic.jpg","查看主图")</x:f>
        <x:v>HYPERLINK is not implemented. linkLocation=https://img.alicdn.com/bao/uploaded/i2/692195348/O1CN01fumUDY1pNRGhG6sOK_!!4611686018427383828-0-item_pic.jpg, friendlyName=查看主图</x:v>
      </x:c>
      <x:c r="O519" s="9" t="str">
        <x:v>标题及既有类目语义复核；【辛芷蕾同款】珂莱蒂尔新浪漫华丽风绵羊毛肌理感修身针织半身裙；原类目及标题已能确认半身裙；展示使用已知大类，未知裙长下沉到结构字段，不强猜长短。</x:v>
      </x:c>
      <x:c r="P519" s="9" t="str">
        <x:v>普通男女装</x:v>
      </x:c>
      <x:c r="Q519" s="9" t="str">
        <x:v>W_SKIRTS_AVGPAID_1500_1600_ANNUAL2026.xlsx</x:v>
      </x:c>
      <x:c r="R519" s="9" t="str">
        <x:v>默认</x:v>
      </x:c>
      <x:c r="S519" s="9" t="n">
        <x:v>356</x:v>
      </x:c>
      <x:c r="T519" s="9" t="str">
        <x:v>deede8b56943df4f914be45dba170f12e69064023d6ef0e88dbde1764f6ba23e</x:v>
      </x:c>
      <x:c r="U519" s="9" t="str">
        <x:v>W_SKIRTS_AVGPAID_1500_1600_ANNUAL2026</x:v>
      </x:c>
      <x:c r="V519" s="9" t="str">
        <x:v>W_SKIRTS_AVGPAID_1500_1600_ANNUAL2026.xlsx / 默认 / 第356行 / SHA256 deede8b56943df4f914be45dba170f12e69064023d6ef0e88dbde1764f6ba23e</x:v>
      </x:c>
    </x:row>
    <x:row r="520" ht="58" customHeight="1">
      <x:c r="A520" s="23" t="str">
        <x:v>998633700456</x:v>
      </x:c>
      <x:c r="B520" s="22"/>
      <x:c r="C520" s="22"/>
      <x:c r="D520" s="22"/>
      <x:c r="E520" s="9" t="str">
        <x:v>裙长未明确</x:v>
      </x:c>
      <x:c r="F520" s="9" t="str">
        <x:v>裙装</x:v>
      </x:c>
      <x:c r="G520" s="9" t="str">
        <x:v>半身裙</x:v>
      </x:c>
      <x:c r="H520" s="9" t="str">
        <x:v>女</x:v>
      </x:c>
      <x:c r="I520" s="9" t="str">
        <x:v>Koradior珂莱蒂尔商场同款2026春新款经典黑星光鱼尾半身裙修身女</x:v>
      </x:c>
      <x:c r="J520" s="9" t="str">
        <x:v>KORADIOR/珂莱蒂尔</x:v>
      </x:c>
      <x:c r="K520" s="24" t="n">
        <x:v>1756.68</x:v>
      </x:c>
      <x:c r="L520" s="25" t="e">
        <x:f>HYPERLINK("https://item.taobao.com/item.htm?id=998633700456","打开商品")</x:f>
        <x:v>HYPERLINK is not implemented. linkLocation=https://item.taobao.com/item.htm?id=998633700456, friendlyName=打开商品</x:v>
      </x:c>
      <x:c r="M520" s="25" t="e">
        <x:f>HYPERLINK("https://data.zhiyitech.cn/itemDetail/overview/base?itemId=998633700456","打开知衣")</x:f>
        <x:v>HYPERLINK is not implemented. linkLocation=https://data.zhiyitech.cn/itemDetail/overview/base?itemId=998633700456, friendlyName=打开知衣</x:v>
      </x:c>
      <x:c r="N520" s="25" t="e">
        <x:f>HYPERLINK("https://img.alicdn.com/bao/uploaded/i3/2216420997155/O1CN01YQjfM4qOIkF1chua-2216420997155.jpg","查看主图")</x:f>
        <x:v>HYPERLINK is not implemented. linkLocation=https://img.alicdn.com/bao/uploaded/i3/2216420997155/O1CN01YQjfM4qOIkF1chua-2216420997155.jpg, friendlyName=查看主图</x:v>
      </x:c>
      <x:c r="O520" s="9" t="str">
        <x:v>标题及既有类目语义复核；Koradior珂莱蒂尔商场同款2026春新款经典黑星光鱼尾半身裙修身女；原类目及标题已能确认半身裙；展示使用已知大类，未知裙长下沉到结构字段，不强猜长短。</x:v>
      </x:c>
      <x:c r="P520" s="9" t="str">
        <x:v>普通男女装</x:v>
      </x:c>
      <x:c r="Q520" s="9" t="str">
        <x:v>W_SKIRTS_AVGPAID_1700_1800_ANNUAL2026.xlsx</x:v>
      </x:c>
      <x:c r="R520" s="9" t="str">
        <x:v>默认</x:v>
      </x:c>
      <x:c r="S520" s="9" t="n">
        <x:v>138</x:v>
      </x:c>
      <x:c r="T520" s="9" t="str">
        <x:v>c25ed77c53c7c5cfcf728778a0e9b297d8689503f62756a939cbd534ca9b587a</x:v>
      </x:c>
      <x:c r="U520" s="9" t="str">
        <x:v>W_SKIRTS_AVGPAID_1700_1800_ANNUAL2026</x:v>
      </x:c>
      <x:c r="V520" s="9" t="str">
        <x:v>W_SKIRTS_AVGPAID_1700_1800_ANNUAL2026.xlsx / 默认 / 第138行 / SHA256 c25ed77c53c7c5cfcf728778a0e9b297d8689503f62756a939cbd534ca9b587a</x:v>
      </x:c>
    </x:row>
    <x:row r="521" ht="58" customHeight="1">
      <x:c r="A521" s="23" t="str">
        <x:v>998635984887</x:v>
      </x:c>
      <x:c r="B521" s="22"/>
      <x:c r="C521" s="22"/>
      <x:c r="D521" s="22"/>
      <x:c r="E521" s="9" t="str">
        <x:v>裙长未明确</x:v>
      </x:c>
      <x:c r="F521" s="9" t="str">
        <x:v>裙装</x:v>
      </x:c>
      <x:c r="G521" s="9" t="str">
        <x:v>半身裙</x:v>
      </x:c>
      <x:c r="H521" s="9" t="str">
        <x:v>女</x:v>
      </x:c>
      <x:c r="I521" s="9" t="str">
        <x:v>Koradior珂莱蒂尔商场同款2026春新款法式优雅丝绒鱼尾裙半身裙女</x:v>
      </x:c>
      <x:c r="J521" s="9" t="str">
        <x:v>KORADIOR/珂莱蒂尔</x:v>
      </x:c>
      <x:c r="K521" s="24" t="n">
        <x:v>1559.13</x:v>
      </x:c>
      <x:c r="L521" s="25" t="e">
        <x:f>HYPERLINK("https://item.taobao.com/item.htm?id=998635984887","打开商品")</x:f>
        <x:v>HYPERLINK is not implemented. linkLocation=https://item.taobao.com/item.htm?id=998635984887, friendlyName=打开商品</x:v>
      </x:c>
      <x:c r="M521" s="25" t="e">
        <x:f>HYPERLINK("https://data.zhiyitech.cn/itemDetail/overview/base?itemId=998635984887","打开知衣")</x:f>
        <x:v>HYPERLINK is not implemented. linkLocation=https://data.zhiyitech.cn/itemDetail/overview/base?itemId=998635984887, friendlyName=打开知衣</x:v>
      </x:c>
      <x:c r="N521" s="25" t="e">
        <x:f>HYPERLINK("https://img.alicdn.com/bao/uploaded/i4/2216420997155/O1CN01GBpJCleVKED1chua-2216420997155.jpg","查看主图")</x:f>
        <x:v>HYPERLINK is not implemented. linkLocation=https://img.alicdn.com/bao/uploaded/i4/2216420997155/O1CN01GBpJCleVKED1chua-2216420997155.jpg, friendlyName=查看主图</x:v>
      </x:c>
      <x:c r="O521" s="9" t="str">
        <x:v>标题及既有类目语义复核；Koradior珂莱蒂尔商场同款2026春新款法式优雅丝绒鱼尾裙半身裙女；原类目及标题已能确认半身裙；展示使用已知大类，未知裙长下沉到结构字段，不强猜长短。</x:v>
      </x:c>
      <x:c r="P521" s="9" t="str">
        <x:v>普通男女装</x:v>
      </x:c>
      <x:c r="Q521" s="9" t="str">
        <x:v>W_SKIRTS_AVGPAID_1500_1600_ANNUAL2026.xlsx</x:v>
      </x:c>
      <x:c r="R521" s="9" t="str">
        <x:v>默认</x:v>
      </x:c>
      <x:c r="S521" s="9" t="n">
        <x:v>137</x:v>
      </x:c>
      <x:c r="T521" s="9" t="str">
        <x:v>deede8b56943df4f914be45dba170f12e69064023d6ef0e88dbde1764f6ba23e</x:v>
      </x:c>
      <x:c r="U521" s="9" t="str">
        <x:v>W_SKIRTS_AVGPAID_1500_1600_ANNUAL2026</x:v>
      </x:c>
      <x:c r="V521" s="9" t="str">
        <x:v>W_SKIRTS_AVGPAID_1500_1600_ANNUAL2026.xlsx / 默认 / 第137行 / SHA256 deede8b56943df4f914be45dba170f12e69064023d6ef0e88dbde1764f6ba23e</x:v>
      </x:c>
    </x:row>
    <x:row r="522" ht="58" customHeight="1">
      <x:c r="A522" s="23" t="str">
        <x:v>626395417083</x:v>
      </x:c>
      <x:c r="B522" s="22"/>
      <x:c r="C522" s="22"/>
      <x:c r="D522" s="22"/>
      <x:c r="E522" s="9" t="str">
        <x:v>裙长未明确</x:v>
      </x:c>
      <x:c r="F522" s="9" t="str">
        <x:v>裙装</x:v>
      </x:c>
      <x:c r="G522" s="9" t="str">
        <x:v>半身裙</x:v>
      </x:c>
      <x:c r="H522" s="9" t="str">
        <x:v>女</x:v>
      </x:c>
      <x:c r="I522" s="9" t="str">
        <x:v>【新闻女王同款】LK BENNETT灰色千鸟格羊毛半身裙秋冬职场通勤</x:v>
      </x:c>
      <x:c r="J522" s="9" t="str">
        <x:v>L.K.BENNETT</x:v>
      </x:c>
      <x:c r="K522" s="24" t="n">
        <x:v>1751.31</x:v>
      </x:c>
      <x:c r="L522" s="25" t="e">
        <x:f>HYPERLINK("https://item.taobao.com/item.htm?id=626395417083","打开商品")</x:f>
        <x:v>HYPERLINK is not implemented. linkLocation=https://item.taobao.com/item.htm?id=626395417083, friendlyName=打开商品</x:v>
      </x:c>
      <x:c r="M522" s="25" t="e">
        <x:f>HYPERLINK("https://data.zhiyitech.cn/itemDetail/overview/base?itemId=626395417083","打开知衣")</x:f>
        <x:v>HYPERLINK is not implemented. linkLocation=https://data.zhiyitech.cn/itemDetail/overview/base?itemId=626395417083, friendlyName=打开知衣</x:v>
      </x:c>
      <x:c r="N522" s="25" t="e">
        <x:f>HYPERLINK("https://img.alicdn.com/bao/uploaded/i1/3408288732/O1CN018q0m46tVtrI1chua_!!4611686018427386844-0-item_pic.jpg","查看主图")</x:f>
        <x:v>HYPERLINK is not implemented. linkLocation=https://img.alicdn.com/bao/uploaded/i1/3408288732/O1CN018q0m46tVtrI1chua_!!4611686018427386844-0-item_pic.jpg, friendlyName=查看主图</x:v>
      </x:c>
      <x:c r="O522" s="9" t="str">
        <x:v>标题及既有类目语义复核；【新闻女王同款】LK BENNETT灰色千鸟格羊毛半身裙秋冬职场通勤；原类目及标题已能确认半身裙；展示使用已知大类，未知裙长下沉到结构字段，不强猜长短。</x:v>
      </x:c>
      <x:c r="P522" s="9" t="str">
        <x:v>普通男女装</x:v>
      </x:c>
      <x:c r="Q522" s="9" t="str">
        <x:v>W_SKIRTS_AVGPAID_1700_1800_ANNUAL2026.xlsx</x:v>
      </x:c>
      <x:c r="R522" s="9" t="str">
        <x:v>默认</x:v>
      </x:c>
      <x:c r="S522" s="9" t="n">
        <x:v>338</x:v>
      </x:c>
      <x:c r="T522" s="9" t="str">
        <x:v>c25ed77c53c7c5cfcf728778a0e9b297d8689503f62756a939cbd534ca9b587a</x:v>
      </x:c>
      <x:c r="U522" s="9" t="str">
        <x:v>W_SKIRTS_AVGPAID_1700_1800_ANNUAL2026</x:v>
      </x:c>
      <x:c r="V522" s="9" t="str">
        <x:v>W_SKIRTS_AVGPAID_1700_1800_ANNUAL2026.xlsx / 默认 / 第338行 / SHA256 c25ed77c53c7c5cfcf728778a0e9b297d8689503f62756a939cbd534ca9b587a</x:v>
      </x:c>
    </x:row>
    <x:row r="523" ht="58" customHeight="1">
      <x:c r="A523" s="23" t="str">
        <x:v>1046390191199</x:v>
      </x:c>
      <x:c r="B523" s="22"/>
      <x:c r="C523" s="22"/>
      <x:c r="D523" s="22"/>
      <x:c r="E523" s="9" t="str">
        <x:v>裙长未明确</x:v>
      </x:c>
      <x:c r="F523" s="9" t="str">
        <x:v>裙装</x:v>
      </x:c>
      <x:c r="G523" s="9" t="str">
        <x:v>半身裙</x:v>
      </x:c>
      <x:c r="H523" s="9" t="str">
        <x:v>女</x:v>
      </x:c>
      <x:c r="I523" s="9" t="str">
        <x:v>【商场同款】Lakoradior拉珂蒂气质优雅女春夏新款高腰印花半身裙</x:v>
      </x:c>
      <x:c r="J523" s="9" t="str">
        <x:v>LA KORADIOR</x:v>
      </x:c>
      <x:c r="K523" s="24" t="n">
        <x:v>1535.5</x:v>
      </x:c>
      <x:c r="L523" s="25" t="e">
        <x:f>HYPERLINK("https://item.taobao.com/item.htm?id=1046390191199","打开商品")</x:f>
        <x:v>HYPERLINK is not implemented. linkLocation=https://item.taobao.com/item.htm?id=1046390191199, friendlyName=打开商品</x:v>
      </x:c>
      <x:c r="M523" s="25" t="e">
        <x:f>HYPERLINK("https://data.zhiyitech.cn/itemDetail/overview/base?itemId=1046390191199","打开知衣")</x:f>
        <x:v>HYPERLINK is not implemented. linkLocation=https://data.zhiyitech.cn/itemDetail/overview/base?itemId=1046390191199, friendlyName=打开知衣</x:v>
      </x:c>
      <x:c r="N523" s="25" t="e">
        <x:f>HYPERLINK("https://img.alicdn.com/bao/uploaded/i3/2780321065/O1CN01LFybQKlzIoB2vH2e_!!2780321065.jpg","查看主图")</x:f>
        <x:v>HYPERLINK is not implemented. linkLocation=https://img.alicdn.com/bao/uploaded/i3/2780321065/O1CN01LFybQKlzIoB2vH2e_!!2780321065.jpg, friendlyName=查看主图</x:v>
      </x:c>
      <x:c r="O523" s="9" t="str">
        <x:v>标题及既有类目语义复核；【商场同款】Lakoradior拉珂蒂气质优雅女春夏新款高腰印花半身裙；原类目及标题已能确认半身裙；展示使用已知大类，未知裙长下沉到结构字段，不强猜长短。</x:v>
      </x:c>
      <x:c r="P523" s="9" t="str">
        <x:v>普通男女装</x:v>
      </x:c>
      <x:c r="Q523" s="9" t="str">
        <x:v>W_SKIRTS_AVGPAID_1500_1600_ANNUAL2026.xlsx</x:v>
      </x:c>
      <x:c r="R523" s="9" t="str">
        <x:v>默认</x:v>
      </x:c>
      <x:c r="S523" s="9" t="n">
        <x:v>212</x:v>
      </x:c>
      <x:c r="T523" s="9" t="str">
        <x:v>deede8b56943df4f914be45dba170f12e69064023d6ef0e88dbde1764f6ba23e</x:v>
      </x:c>
      <x:c r="U523" s="9" t="str">
        <x:v>W_SKIRTS_AVGPAID_1500_1600_ANNUAL2026</x:v>
      </x:c>
      <x:c r="V523" s="9" t="str">
        <x:v>W_SKIRTS_AVGPAID_1500_1600_ANNUAL2026.xlsx / 默认 / 第212行 / SHA256 deede8b56943df4f914be45dba170f12e69064023d6ef0e88dbde1764f6ba23e</x:v>
      </x:c>
    </x:row>
    <x:row r="524" ht="58" customHeight="1">
      <x:c r="A524" s="23" t="str">
        <x:v>837352413690</x:v>
      </x:c>
      <x:c r="B524" s="22"/>
      <x:c r="C524" s="22"/>
      <x:c r="D524" s="22"/>
      <x:c r="E524" s="9" t="str">
        <x:v>裙长未明确</x:v>
      </x:c>
      <x:c r="F524" s="9" t="str">
        <x:v>裙装</x:v>
      </x:c>
      <x:c r="G524" s="9" t="str">
        <x:v>半身裙</x:v>
      </x:c>
      <x:c r="H524" s="9" t="str">
        <x:v>女</x:v>
      </x:c>
      <x:c r="I524" s="9" t="str">
        <x:v>【匈牙利进口白鹅绒】La Koradior拉珂蒂貉毛羽绒半裙高腰裙</x:v>
      </x:c>
      <x:c r="J524" s="9" t="str">
        <x:v>LA KORADIOR</x:v>
      </x:c>
      <x:c r="K524" s="24" t="n">
        <x:v>1396.65</x:v>
      </x:c>
      <x:c r="L524" s="25" t="e">
        <x:f>HYPERLINK("https://item.taobao.com/item.htm?id=837352413690","打开商品")</x:f>
        <x:v>HYPERLINK is not implemented. linkLocation=https://item.taobao.com/item.htm?id=837352413690, friendlyName=打开商品</x:v>
      </x:c>
      <x:c r="M524" s="25" t="e">
        <x:f>HYPERLINK("https://data.zhiyitech.cn/itemDetail/overview/base?itemId=837352413690","打开知衣")</x:f>
        <x:v>HYPERLINK is not implemented. linkLocation=https://data.zhiyitech.cn/itemDetail/overview/base?itemId=837352413690, friendlyName=打开知衣</x:v>
      </x:c>
      <x:c r="N524" s="25" t="e">
        <x:f>HYPERLINK("https://img.alicdn.com/bao/uploaded/i2/2780321065/O1CN01RrSX6ghCB4F1chua_!!2780321065.jpg","查看主图")</x:f>
        <x:v>HYPERLINK is not implemented. linkLocation=https://img.alicdn.com/bao/uploaded/i2/2780321065/O1CN01RrSX6ghCB4F1chua_!!2780321065.jpg, friendlyName=查看主图</x:v>
      </x:c>
      <x:c r="O524" s="9" t="str">
        <x:v>标题及既有类目语义复核；【匈牙利进口白鹅绒】La Koradior拉珂蒂貉毛羽绒半裙高腰裙；原类目及标题已能确认半身裙；展示使用已知大类，未知裙长下沉到结构字段，不强猜长短。</x:v>
      </x:c>
      <x:c r="P524" s="9" t="str">
        <x:v>普通男女装</x:v>
      </x:c>
      <x:c r="Q524" s="9" t="str">
        <x:v>W_SKIRTS_AVGPAID_1300_1400_ANNUAL2026.xlsx</x:v>
      </x:c>
      <x:c r="R524" s="9" t="str">
        <x:v>默认</x:v>
      </x:c>
      <x:c r="S524" s="9" t="n">
        <x:v>334</x:v>
      </x:c>
      <x:c r="T524" s="9" t="str">
        <x:v>bd4dae1e08e9eca7ddd0669235bf59107cdc418b9c2898fc16f36a7ab5748692</x:v>
      </x:c>
      <x:c r="U524" s="9" t="str">
        <x:v>W_SKIRTS_AVGPAID_1300_1400_ANNUAL2026</x:v>
      </x:c>
      <x:c r="V524" s="9" t="str">
        <x:v>W_SKIRTS_AVGPAID_1300_1400_ANNUAL2026.xlsx / 默认 / 第334行 / SHA256 bd4dae1e08e9eca7ddd0669235bf59107cdc418b9c2898fc16f36a7ab5748692</x:v>
      </x:c>
    </x:row>
    <x:row r="525" ht="58" customHeight="1">
      <x:c r="A525" s="23" t="str">
        <x:v>861866679623</x:v>
      </x:c>
      <x:c r="B525" s="22"/>
      <x:c r="C525" s="22"/>
      <x:c r="D525" s="22"/>
      <x:c r="E525" s="9" t="str">
        <x:v>裙长未明确</x:v>
      </x:c>
      <x:c r="F525" s="9" t="str">
        <x:v>裙装</x:v>
      </x:c>
      <x:c r="G525" s="9" t="str">
        <x:v>半身裙</x:v>
      </x:c>
      <x:c r="H525" s="9" t="str">
        <x:v>女</x:v>
      </x:c>
      <x:c r="I525" s="9" t="str">
        <x:v>La Koradior拉珂蒂商场同款2025春季新款气质蕾丝a字半身裙伞裙女</x:v>
      </x:c>
      <x:c r="J525" s="9" t="str">
        <x:v>LA KORADIOR</x:v>
      </x:c>
      <x:c r="K525" s="24" t="n">
        <x:v>1372.8</x:v>
      </x:c>
      <x:c r="L525" s="25" t="e">
        <x:f>HYPERLINK("https://item.taobao.com/item.htm?id=861866679623","打开商品")</x:f>
        <x:v>HYPERLINK is not implemented. linkLocation=https://item.taobao.com/item.htm?id=861866679623, friendlyName=打开商品</x:v>
      </x:c>
      <x:c r="M525" s="25" t="e">
        <x:f>HYPERLINK("https://data.zhiyitech.cn/itemDetail/overview/base?itemId=861866679623","打开知衣")</x:f>
        <x:v>HYPERLINK is not implemented. linkLocation=https://data.zhiyitech.cn/itemDetail/overview/base?itemId=861866679623, friendlyName=打开知衣</x:v>
      </x:c>
      <x:c r="N525" s="25" t="e">
        <x:f>HYPERLINK("https://img.alicdn.com/bao/uploaded/i4/2780321065/O1CN01FUdQLW1JjopVTHOCD_!!4611686018427385129-0-item_pic.jpg","查看主图")</x:f>
        <x:v>HYPERLINK is not implemented. linkLocation=https://img.alicdn.com/bao/uploaded/i4/2780321065/O1CN01FUdQLW1JjopVTHOCD_!!4611686018427385129-0-item_pic.jpg, friendlyName=查看主图</x:v>
      </x:c>
      <x:c r="O525" s="9" t="str">
        <x:v>标题及既有类目语义复核；La Koradior拉珂蒂商场同款2025春季新款气质蕾丝a字半身裙伞裙女；原类目及标题已能确认半身裙；展示使用已知大类，未知裙长下沉到结构字段，不强猜长短。</x:v>
      </x:c>
      <x:c r="P525" s="9" t="str">
        <x:v>普通男女装</x:v>
      </x:c>
      <x:c r="Q525" s="9" t="str">
        <x:v>W_SKIRTS_AVGPAID_1300_1400_ANNUAL2026.xlsx</x:v>
      </x:c>
      <x:c r="R525" s="9" t="str">
        <x:v>默认</x:v>
      </x:c>
      <x:c r="S525" s="9" t="n">
        <x:v>473</x:v>
      </x:c>
      <x:c r="T525" s="9" t="str">
        <x:v>bd4dae1e08e9eca7ddd0669235bf59107cdc418b9c2898fc16f36a7ab5748692</x:v>
      </x:c>
      <x:c r="U525" s="9" t="str">
        <x:v>W_SKIRTS_AVGPAID_1300_1400_ANNUAL2026</x:v>
      </x:c>
      <x:c r="V525" s="9" t="str">
        <x:v>W_SKIRTS_AVGPAID_1300_1400_ANNUAL2026.xlsx / 默认 / 第473行 / SHA256 bd4dae1e08e9eca7ddd0669235bf59107cdc418b9c2898fc16f36a7ab5748692</x:v>
      </x:c>
    </x:row>
    <x:row r="526" ht="58" customHeight="1">
      <x:c r="A526" s="23" t="str">
        <x:v>898788625923</x:v>
      </x:c>
      <x:c r="B526" s="22"/>
      <x:c r="C526" s="22"/>
      <x:c r="D526" s="22"/>
      <x:c r="E526" s="9" t="str">
        <x:v>裙长未明确</x:v>
      </x:c>
      <x:c r="F526" s="9" t="str">
        <x:v>裙装</x:v>
      </x:c>
      <x:c r="G526" s="9" t="str">
        <x:v>半身裙</x:v>
      </x:c>
      <x:c r="H526" s="9" t="str">
        <x:v>女</x:v>
      </x:c>
      <x:c r="I526" s="9" t="str">
        <x:v>【经典铃兰裙】Lakoradior拉珂蒂简约优雅夏季三醋酸淑女半身裙女</x:v>
      </x:c>
      <x:c r="J526" s="9" t="str">
        <x:v>LA KORADIOR</x:v>
      </x:c>
      <x:c r="K526" s="24" t="n">
        <x:v>1314.78</x:v>
      </x:c>
      <x:c r="L526" s="25" t="e">
        <x:f>HYPERLINK("https://item.taobao.com/item.htm?id=898788625923","打开商品")</x:f>
        <x:v>HYPERLINK is not implemented. linkLocation=https://item.taobao.com/item.htm?id=898788625923, friendlyName=打开商品</x:v>
      </x:c>
      <x:c r="M526" s="25" t="e">
        <x:f>HYPERLINK("https://data.zhiyitech.cn/itemDetail/overview/base?itemId=898788625923","打开知衣")</x:f>
        <x:v>HYPERLINK is not implemented. linkLocation=https://data.zhiyitech.cn/itemDetail/overview/base?itemId=898788625923, friendlyName=打开知衣</x:v>
      </x:c>
      <x:c r="N526" s="25" t="e">
        <x:f>HYPERLINK("https://img.alicdn.com/bao/uploaded/i4/2780321065/O1CN01TGvv92GgyJE1chua_!!2780321065.jpg","查看主图")</x:f>
        <x:v>HYPERLINK is not implemented. linkLocation=https://img.alicdn.com/bao/uploaded/i4/2780321065/O1CN01TGvv92GgyJE1chua_!!2780321065.jpg, friendlyName=查看主图</x:v>
      </x:c>
      <x:c r="O526" s="9" t="str">
        <x:v>标题及既有类目语义复核；【经典铃兰裙】Lakoradior拉珂蒂简约优雅夏季三醋酸淑女半身裙女；原类目及标题已能确认半身裙；展示使用已知大类，未知裙长下沉到结构字段，不强猜长短。</x:v>
      </x:c>
      <x:c r="P526" s="9" t="str">
        <x:v>普通男女装</x:v>
      </x:c>
      <x:c r="Q526" s="9" t="str">
        <x:v>W_SKIRTS_AVGPAID_1300_1400_ANNUAL2026.xlsx</x:v>
      </x:c>
      <x:c r="R526" s="9" t="str">
        <x:v>默认</x:v>
      </x:c>
      <x:c r="S526" s="9" t="n">
        <x:v>119</x:v>
      </x:c>
      <x:c r="T526" s="9" t="str">
        <x:v>bd4dae1e08e9eca7ddd0669235bf59107cdc418b9c2898fc16f36a7ab5748692</x:v>
      </x:c>
      <x:c r="U526" s="9" t="str">
        <x:v>W_SKIRTS_AVGPAID_1300_1400_ANNUAL2026</x:v>
      </x:c>
      <x:c r="V526" s="9" t="str">
        <x:v>W_SKIRTS_AVGPAID_1300_1400_ANNUAL2026.xlsx / 默认 / 第119行 / SHA256 bd4dae1e08e9eca7ddd0669235bf59107cdc418b9c2898fc16f36a7ab5748692</x:v>
      </x:c>
    </x:row>
    <x:row r="527" ht="58" customHeight="1">
      <x:c r="A527" s="23" t="str">
        <x:v>900249652036</x:v>
      </x:c>
      <x:c r="B527" s="22"/>
      <x:c r="C527" s="22"/>
      <x:c r="D527" s="22"/>
      <x:c r="E527" s="9" t="str">
        <x:v>裙长未明确</x:v>
      </x:c>
      <x:c r="F527" s="9" t="str">
        <x:v>裙装</x:v>
      </x:c>
      <x:c r="G527" s="9" t="str">
        <x:v>半身裙</x:v>
      </x:c>
      <x:c r="H527" s="9" t="str">
        <x:v>女</x:v>
      </x:c>
      <x:c r="I527" s="9" t="str">
        <x:v>Lakoradior拉珂蒂显瘦夏季新款修身简约a字柔美花卉网纱半身裙女</x:v>
      </x:c>
      <x:c r="J527" s="9" t="str">
        <x:v>LA KORADIOR</x:v>
      </x:c>
      <x:c r="K527" s="24" t="n">
        <x:v>1581.12</x:v>
      </x:c>
      <x:c r="L527" s="25" t="e">
        <x:f>HYPERLINK("https://item.taobao.com/item.htm?id=900249652036","打开商品")</x:f>
        <x:v>HYPERLINK is not implemented. linkLocation=https://item.taobao.com/item.htm?id=900249652036, friendlyName=打开商品</x:v>
      </x:c>
      <x:c r="M527" s="25" t="e">
        <x:f>HYPERLINK("https://data.zhiyitech.cn/itemDetail/overview/base?itemId=900249652036","打开知衣")</x:f>
        <x:v>HYPERLINK is not implemented. linkLocation=https://data.zhiyitech.cn/itemDetail/overview/base?itemId=900249652036, friendlyName=打开知衣</x:v>
      </x:c>
      <x:c r="N527" s="25" t="e">
        <x:f>HYPERLINK("https://img.alicdn.com/bao/uploaded/i4/2780321065/O1CN01l0PJ0HtyX3C1chua_!!2780321065.jpg","查看主图")</x:f>
        <x:v>HYPERLINK is not implemented. linkLocation=https://img.alicdn.com/bao/uploaded/i4/2780321065/O1CN01l0PJ0HtyX3C1chua_!!2780321065.jpg, friendlyName=查看主图</x:v>
      </x:c>
      <x:c r="O527" s="9" t="str">
        <x:v>标题及既有类目语义复核；Lakoradior拉珂蒂显瘦夏季新款修身简约a字柔美花卉网纱半身裙女；原类目及标题已能确认半身裙；展示使用已知大类，未知裙长下沉到结构字段，不强猜长短。</x:v>
      </x:c>
      <x:c r="P527" s="9" t="str">
        <x:v>普通男女装</x:v>
      </x:c>
      <x:c r="Q527" s="9" t="str">
        <x:v>W_SKIRTS_AVGPAID_1500_1600_ANNUAL2026.xlsx</x:v>
      </x:c>
      <x:c r="R527" s="9" t="str">
        <x:v>默认</x:v>
      </x:c>
      <x:c r="S527" s="9" t="n">
        <x:v>214</x:v>
      </x:c>
      <x:c r="T527" s="9" t="str">
        <x:v>deede8b56943df4f914be45dba170f12e69064023d6ef0e88dbde1764f6ba23e</x:v>
      </x:c>
      <x:c r="U527" s="9" t="str">
        <x:v>W_SKIRTS_AVGPAID_1500_1600_ANNUAL2026</x:v>
      </x:c>
      <x:c r="V527" s="9" t="str">
        <x:v>W_SKIRTS_AVGPAID_1500_1600_ANNUAL2026.xlsx / 默认 / 第214行 / SHA256 deede8b56943df4f914be45dba170f12e69064023d6ef0e88dbde1764f6ba23e</x:v>
      </x:c>
    </x:row>
    <x:row r="528" ht="58" customHeight="1">
      <x:c r="A528" s="23" t="str">
        <x:v>918035954246</x:v>
      </x:c>
      <x:c r="B528" s="22"/>
      <x:c r="C528" s="22"/>
      <x:c r="D528" s="22"/>
      <x:c r="E528" s="9" t="str">
        <x:v>裙长未明确</x:v>
      </x:c>
      <x:c r="F528" s="9" t="str">
        <x:v>裙装</x:v>
      </x:c>
      <x:c r="G528" s="9" t="str">
        <x:v>半身裙</x:v>
      </x:c>
      <x:c r="H528" s="9" t="str">
        <x:v>女</x:v>
      </x:c>
      <x:c r="I528" s="9" t="str">
        <x:v>La Koradior拉珂蒂减龄显瘦通勤时尚优雅简约2025夏黑色a字半裙女</x:v>
      </x:c>
      <x:c r="J528" s="9" t="str">
        <x:v>LA KORADIOR</x:v>
      </x:c>
      <x:c r="K528" s="24" t="n">
        <x:v>1338.85</x:v>
      </x:c>
      <x:c r="L528" s="25" t="e">
        <x:f>HYPERLINK("https://item.taobao.com/item.htm?id=918035954246","打开商品")</x:f>
        <x:v>HYPERLINK is not implemented. linkLocation=https://item.taobao.com/item.htm?id=918035954246, friendlyName=打开商品</x:v>
      </x:c>
      <x:c r="M528" s="25" t="e">
        <x:f>HYPERLINK("https://data.zhiyitech.cn/itemDetail/overview/base?itemId=918035954246","打开知衣")</x:f>
        <x:v>HYPERLINK is not implemented. linkLocation=https://data.zhiyitech.cn/itemDetail/overview/base?itemId=918035954246, friendlyName=打开知衣</x:v>
      </x:c>
      <x:c r="N528" s="25" t="e">
        <x:f>HYPERLINK("https://img.alicdn.com/bao/uploaded/i1/2780321065/O1CN01seK7zbaafHG1chua_!!2780321065.jpg","查看主图")</x:f>
        <x:v>HYPERLINK is not implemented. linkLocation=https://img.alicdn.com/bao/uploaded/i1/2780321065/O1CN01seK7zbaafHG1chua_!!2780321065.jpg, friendlyName=查看主图</x:v>
      </x:c>
      <x:c r="O528" s="9" t="str">
        <x:v>标题及既有类目语义复核；La Koradior拉珂蒂减龄显瘦通勤时尚优雅简约2025夏黑色a字半裙女；原类目及标题已能确认半身裙；展示使用已知大类，未知裙长下沉到结构字段，不强猜长短。</x:v>
      </x:c>
      <x:c r="P528" s="9" t="str">
        <x:v>普通男女装</x:v>
      </x:c>
      <x:c r="Q528" s="9" t="str">
        <x:v>W_SKIRTS_AVGPAID_1300_1400_ANNUAL2026.xlsx</x:v>
      </x:c>
      <x:c r="R528" s="9" t="str">
        <x:v>默认</x:v>
      </x:c>
      <x:c r="S528" s="9" t="n">
        <x:v>170</x:v>
      </x:c>
      <x:c r="T528" s="9" t="str">
        <x:v>bd4dae1e08e9eca7ddd0669235bf59107cdc418b9c2898fc16f36a7ab5748692</x:v>
      </x:c>
      <x:c r="U528" s="9" t="str">
        <x:v>W_SKIRTS_AVGPAID_1300_1400_ANNUAL2026</x:v>
      </x:c>
      <x:c r="V528" s="9" t="str">
        <x:v>W_SKIRTS_AVGPAID_1300_1400_ANNUAL2026.xlsx / 默认 / 第170行 / SHA256 bd4dae1e08e9eca7ddd0669235bf59107cdc418b9c2898fc16f36a7ab5748692</x:v>
      </x:c>
    </x:row>
    <x:row r="529" ht="58" customHeight="1">
      <x:c r="A529" s="23" t="str">
        <x:v>934518136738</x:v>
      </x:c>
      <x:c r="B529" s="22"/>
      <x:c r="C529" s="22"/>
      <x:c r="D529" s="22"/>
      <x:c r="E529" s="9" t="str">
        <x:v>裙长未明确</x:v>
      </x:c>
      <x:c r="F529" s="9" t="str">
        <x:v>裙装</x:v>
      </x:c>
      <x:c r="G529" s="9" t="str">
        <x:v>半身裙</x:v>
      </x:c>
      <x:c r="H529" s="9" t="str">
        <x:v>女</x:v>
      </x:c>
      <x:c r="I529" s="9" t="str">
        <x:v>La Koradior拉珂蒂商场同款2025秋季新品光泽烫钻黑色半身裙女</x:v>
      </x:c>
      <x:c r="J529" s="9" t="str">
        <x:v>LA KORADIOR</x:v>
      </x:c>
      <x:c r="K529" s="24" t="n">
        <x:v>1700.32</x:v>
      </x:c>
      <x:c r="L529" s="25" t="e">
        <x:f>HYPERLINK("https://item.taobao.com/item.htm?id=934518136738","打开商品")</x:f>
        <x:v>HYPERLINK is not implemented. linkLocation=https://item.taobao.com/item.htm?id=934518136738, friendlyName=打开商品</x:v>
      </x:c>
      <x:c r="M529" s="25" t="e">
        <x:f>HYPERLINK("https://data.zhiyitech.cn/itemDetail/overview/base?itemId=934518136738","打开知衣")</x:f>
        <x:v>HYPERLINK is not implemented. linkLocation=https://data.zhiyitech.cn/itemDetail/overview/base?itemId=934518136738, friendlyName=打开知衣</x:v>
      </x:c>
      <x:c r="N529" s="25" t="e">
        <x:f>HYPERLINK("https://img.alicdn.com/bao/uploaded/i2/2780321065/O1CN01zRITEpsPNCK1chua_!!2780321065.jpg","查看主图")</x:f>
        <x:v>HYPERLINK is not implemented. linkLocation=https://img.alicdn.com/bao/uploaded/i2/2780321065/O1CN01zRITEpsPNCK1chua_!!2780321065.jpg, friendlyName=查看主图</x:v>
      </x:c>
      <x:c r="O529" s="9" t="str">
        <x:v>标题及既有类目语义复核；La Koradior拉珂蒂商场同款2025秋季新品光泽烫钻黑色半身裙女；原类目及标题已能确认半身裙；展示使用已知大类，未知裙长下沉到结构字段，不强猜长短。</x:v>
      </x:c>
      <x:c r="P529" s="9" t="str">
        <x:v>普通男女装</x:v>
      </x:c>
      <x:c r="Q529" s="9" t="str">
        <x:v>W_SKIRTS_AVGPAID_1700_1800_ANNUAL2026.xlsx</x:v>
      </x:c>
      <x:c r="R529" s="9" t="str">
        <x:v>默认</x:v>
      </x:c>
      <x:c r="S529" s="9" t="n">
        <x:v>418</x:v>
      </x:c>
      <x:c r="T529" s="9" t="str">
        <x:v>c25ed77c53c7c5cfcf728778a0e9b297d8689503f62756a939cbd534ca9b587a</x:v>
      </x:c>
      <x:c r="U529" s="9" t="str">
        <x:v>W_SKIRTS_AVGPAID_1700_1800_ANNUAL2026</x:v>
      </x:c>
      <x:c r="V529" s="9" t="str">
        <x:v>W_SKIRTS_AVGPAID_1700_1800_ANNUAL2026.xlsx / 默认 / 第418行 / SHA256 c25ed77c53c7c5cfcf728778a0e9b297d8689503f62756a939cbd534ca9b587a</x:v>
      </x:c>
    </x:row>
    <x:row r="530" ht="58" customHeight="1">
      <x:c r="A530" s="23" t="str">
        <x:v>941445250206</x:v>
      </x:c>
      <x:c r="B530" s="22"/>
      <x:c r="C530" s="22"/>
      <x:c r="D530" s="22"/>
      <x:c r="E530" s="9" t="str">
        <x:v>裙长未明确</x:v>
      </x:c>
      <x:c r="F530" s="9" t="str">
        <x:v>裙装</x:v>
      </x:c>
      <x:c r="G530" s="9" t="str">
        <x:v>半身裙</x:v>
      </x:c>
      <x:c r="H530" s="9" t="str">
        <x:v>女</x:v>
      </x:c>
      <x:c r="I530" s="9" t="str">
        <x:v>La Koradior拉珂蒂秋优雅气质减龄商场同款刺绣网纱季雅致半身裙</x:v>
      </x:c>
      <x:c r="J530" s="9" t="str">
        <x:v>LA KORADIOR</x:v>
      </x:c>
      <x:c r="K530" s="24" t="n">
        <x:v>1723.9</x:v>
      </x:c>
      <x:c r="L530" s="25" t="e">
        <x:f>HYPERLINK("https://item.taobao.com/item.htm?id=941445250206","打开商品")</x:f>
        <x:v>HYPERLINK is not implemented. linkLocation=https://item.taobao.com/item.htm?id=941445250206, friendlyName=打开商品</x:v>
      </x:c>
      <x:c r="M530" s="25" t="e">
        <x:f>HYPERLINK("https://data.zhiyitech.cn/itemDetail/overview/base?itemId=941445250206","打开知衣")</x:f>
        <x:v>HYPERLINK is not implemented. linkLocation=https://data.zhiyitech.cn/itemDetail/overview/base?itemId=941445250206, friendlyName=打开知衣</x:v>
      </x:c>
      <x:c r="N530" s="25" t="e">
        <x:f>HYPERLINK("https://img.alicdn.com/bao/uploaded/i3/2780321065/O1CN01vVy5ijeS8eF2vH2e_!!2780321065.jpg","查看主图")</x:f>
        <x:v>HYPERLINK is not implemented. linkLocation=https://img.alicdn.com/bao/uploaded/i3/2780321065/O1CN01vVy5ijeS8eF2vH2e_!!2780321065.jpg, friendlyName=查看主图</x:v>
      </x:c>
      <x:c r="O530" s="9" t="str">
        <x:v>标题及既有类目语义复核；La Koradior拉珂蒂秋优雅气质减龄商场同款刺绣网纱季雅致半身裙；原类目及标题已能确认半身裙；展示使用已知大类，未知裙长下沉到结构字段，不强猜长短。</x:v>
      </x:c>
      <x:c r="P530" s="9" t="str">
        <x:v>普通男女装</x:v>
      </x:c>
      <x:c r="Q530" s="9" t="str">
        <x:v>W_SKIRTS_AVGPAID_1700_1800_ANNUAL2026.xlsx</x:v>
      </x:c>
      <x:c r="R530" s="9" t="str">
        <x:v>默认</x:v>
      </x:c>
      <x:c r="S530" s="9" t="n">
        <x:v>346</x:v>
      </x:c>
      <x:c r="T530" s="9" t="str">
        <x:v>c25ed77c53c7c5cfcf728778a0e9b297d8689503f62756a939cbd534ca9b587a</x:v>
      </x:c>
      <x:c r="U530" s="9" t="str">
        <x:v>W_SKIRTS_AVGPAID_1700_1800_ANNUAL2026</x:v>
      </x:c>
      <x:c r="V530" s="9" t="str">
        <x:v>W_SKIRTS_AVGPAID_1700_1800_ANNUAL2026.xlsx / 默认 / 第346行 / SHA256 c25ed77c53c7c5cfcf728778a0e9b297d8689503f62756a939cbd534ca9b587a</x:v>
      </x:c>
    </x:row>
    <x:row r="531" ht="58" customHeight="1">
      <x:c r="A531" s="23" t="str">
        <x:v>959582682629</x:v>
      </x:c>
      <x:c r="B531" s="22"/>
      <x:c r="C531" s="22"/>
      <x:c r="D531" s="22"/>
      <x:c r="E531" s="9" t="str">
        <x:v>裙长未明确</x:v>
      </x:c>
      <x:c r="F531" s="9" t="str">
        <x:v>裙装</x:v>
      </x:c>
      <x:c r="G531" s="9" t="str">
        <x:v>半身裙</x:v>
      </x:c>
      <x:c r="H531" s="9" t="str">
        <x:v>女</x:v>
      </x:c>
      <x:c r="I531" s="9" t="str">
        <x:v>【商场同款】Lakoradior拉珂蒂2025秋季新款香风高腰A字半身裙</x:v>
      </x:c>
      <x:c r="J531" s="9" t="str">
        <x:v>LA KORADIOR</x:v>
      </x:c>
      <x:c r="K531" s="24" t="n">
        <x:v>1790.98</x:v>
      </x:c>
      <x:c r="L531" s="25" t="e">
        <x:f>HYPERLINK("https://item.taobao.com/item.htm?id=959582682629","打开商品")</x:f>
        <x:v>HYPERLINK is not implemented. linkLocation=https://item.taobao.com/item.htm?id=959582682629, friendlyName=打开商品</x:v>
      </x:c>
      <x:c r="M531" s="25" t="e">
        <x:f>HYPERLINK("https://data.zhiyitech.cn/itemDetail/overview/base?itemId=959582682629","打开知衣")</x:f>
        <x:v>HYPERLINK is not implemented. linkLocation=https://data.zhiyitech.cn/itemDetail/overview/base?itemId=959582682629, friendlyName=打开知衣</x:v>
      </x:c>
      <x:c r="N531" s="25" t="e">
        <x:f>HYPERLINK("https://img.alicdn.com/bao/uploaded/i2/2780321065/O1CN01S8xYdRnCQgE2vH2e_!!2780321065.jpg","查看主图")</x:f>
        <x:v>HYPERLINK is not implemented. linkLocation=https://img.alicdn.com/bao/uploaded/i2/2780321065/O1CN01S8xYdRnCQgE2vH2e_!!2780321065.jpg, friendlyName=查看主图</x:v>
      </x:c>
      <x:c r="O531" s="9" t="str">
        <x:v>标题及既有类目语义复核；【商场同款】Lakoradior拉珂蒂2025秋季新款香风高腰A字半身裙；原类目及标题已能确认半身裙；展示使用已知大类，未知裙长下沉到结构字段，不强猜长短。</x:v>
      </x:c>
      <x:c r="P531" s="9" t="str">
        <x:v>普通男女装</x:v>
      </x:c>
      <x:c r="Q531" s="9" t="str">
        <x:v>W_SKIRTS_AVGPAID_1700_1800_ANNUAL2026.xlsx</x:v>
      </x:c>
      <x:c r="R531" s="9" t="str">
        <x:v>默认</x:v>
      </x:c>
      <x:c r="S531" s="9" t="n">
        <x:v>283</x:v>
      </x:c>
      <x:c r="T531" s="9" t="str">
        <x:v>c25ed77c53c7c5cfcf728778a0e9b297d8689503f62756a939cbd534ca9b587a</x:v>
      </x:c>
      <x:c r="U531" s="9" t="str">
        <x:v>W_SKIRTS_AVGPAID_1700_1800_ANNUAL2026</x:v>
      </x:c>
      <x:c r="V531" s="9" t="str">
        <x:v>W_SKIRTS_AVGPAID_1700_1800_ANNUAL2026.xlsx / 默认 / 第283行 / SHA256 c25ed77c53c7c5cfcf728778a0e9b297d8689503f62756a939cbd534ca9b587a</x:v>
      </x:c>
    </x:row>
    <x:row r="532" ht="58" customHeight="1">
      <x:c r="A532" s="23" t="str">
        <x:v>980174955933</x:v>
      </x:c>
      <x:c r="B532" s="22"/>
      <x:c r="C532" s="22"/>
      <x:c r="D532" s="22"/>
      <x:c r="E532" s="9" t="str">
        <x:v>裙长未明确</x:v>
      </x:c>
      <x:c r="F532" s="9" t="str">
        <x:v>裙装</x:v>
      </x:c>
      <x:c r="G532" s="9" t="str">
        <x:v>半身裙</x:v>
      </x:c>
      <x:c r="H532" s="9" t="str">
        <x:v>女</x:v>
      </x:c>
      <x:c r="I532" s="9" t="str">
        <x:v>【羊毛】Lakoradior拉珂蒂气质女2025秋冬新款优雅高腰A字半身裙</x:v>
      </x:c>
      <x:c r="J532" s="9" t="str">
        <x:v>LA KORADIOR</x:v>
      </x:c>
      <x:c r="K532" s="24" t="n">
        <x:v>1707.41</x:v>
      </x:c>
      <x:c r="L532" s="25" t="e">
        <x:f>HYPERLINK("https://item.taobao.com/item.htm?id=980174955933","打开商品")</x:f>
        <x:v>HYPERLINK is not implemented. linkLocation=https://item.taobao.com/item.htm?id=980174955933, friendlyName=打开商品</x:v>
      </x:c>
      <x:c r="M532" s="25" t="e">
        <x:f>HYPERLINK("https://data.zhiyitech.cn/itemDetail/overview/base?itemId=980174955933","打开知衣")</x:f>
        <x:v>HYPERLINK is not implemented. linkLocation=https://data.zhiyitech.cn/itemDetail/overview/base?itemId=980174955933, friendlyName=打开知衣</x:v>
      </x:c>
      <x:c r="N532" s="25" t="e">
        <x:f>HYPERLINK("https://img.alicdn.com/bao/uploaded/i2/2780321065/O1CN01vWGl0Nlh5FE2vH2e_!!2780321065.jpg","查看主图")</x:f>
        <x:v>HYPERLINK is not implemented. linkLocation=https://img.alicdn.com/bao/uploaded/i2/2780321065/O1CN01vWGl0Nlh5FE2vH2e_!!2780321065.jpg, friendlyName=查看主图</x:v>
      </x:c>
      <x:c r="O532" s="9" t="str">
        <x:v>标题及既有类目语义复核；【羊毛】Lakoradior拉珂蒂气质女2025秋冬新款优雅高腰A字半身裙；原类目及标题已能确认半身裙；展示使用已知大类，未知裙长下沉到结构字段，不强猜长短。</x:v>
      </x:c>
      <x:c r="P532" s="9" t="str">
        <x:v>普通男女装</x:v>
      </x:c>
      <x:c r="Q532" s="9" t="str">
        <x:v>W_SKIRTS_AVGPAID_1700_1800_ANNUAL2026.xlsx</x:v>
      </x:c>
      <x:c r="R532" s="9" t="str">
        <x:v>默认</x:v>
      </x:c>
      <x:c r="S532" s="9" t="n">
        <x:v>415</x:v>
      </x:c>
      <x:c r="T532" s="9" t="str">
        <x:v>c25ed77c53c7c5cfcf728778a0e9b297d8689503f62756a939cbd534ca9b587a</x:v>
      </x:c>
      <x:c r="U532" s="9" t="str">
        <x:v>W_SKIRTS_AVGPAID_1700_1800_ANNUAL2026</x:v>
      </x:c>
      <x:c r="V532" s="9" t="str">
        <x:v>W_SKIRTS_AVGPAID_1700_1800_ANNUAL2026.xlsx / 默认 / 第415行 / SHA256 c25ed77c53c7c5cfcf728778a0e9b297d8689503f62756a939cbd534ca9b587a</x:v>
      </x:c>
    </x:row>
    <x:row r="533" ht="58" customHeight="1">
      <x:c r="A533" s="23" t="str">
        <x:v>980278555997</x:v>
      </x:c>
      <x:c r="B533" s="22"/>
      <x:c r="C533" s="22"/>
      <x:c r="D533" s="22"/>
      <x:c r="E533" s="9" t="str">
        <x:v>裙长未明确</x:v>
      </x:c>
      <x:c r="F533" s="9" t="str">
        <x:v>裙装</x:v>
      </x:c>
      <x:c r="G533" s="9" t="str">
        <x:v>半身裙</x:v>
      </x:c>
      <x:c r="H533" s="9" t="str">
        <x:v>女</x:v>
      </x:c>
      <x:c r="I533" s="9" t="str">
        <x:v>【羊毛】Lakoradior拉珂蒂减龄名媛女2025秋冬新款优雅鱼尾半身裙</x:v>
      </x:c>
      <x:c r="J533" s="9" t="str">
        <x:v>LA KORADIOR</x:v>
      </x:c>
      <x:c r="K533" s="24" t="n">
        <x:v>1737.28</x:v>
      </x:c>
      <x:c r="L533" s="25" t="e">
        <x:f>HYPERLINK("https://item.taobao.com/item.htm?id=980278555997","打开商品")</x:f>
        <x:v>HYPERLINK is not implemented. linkLocation=https://item.taobao.com/item.htm?id=980278555997, friendlyName=打开商品</x:v>
      </x:c>
      <x:c r="M533" s="25" t="e">
        <x:f>HYPERLINK("https://data.zhiyitech.cn/itemDetail/overview/base?itemId=980278555997","打开知衣")</x:f>
        <x:v>HYPERLINK is not implemented. linkLocation=https://data.zhiyitech.cn/itemDetail/overview/base?itemId=980278555997, friendlyName=打开知衣</x:v>
      </x:c>
      <x:c r="N533" s="25" t="e">
        <x:f>HYPERLINK("https://img.alicdn.com/bao/uploaded/i1/2780321065/O1CN01jUiBecrwXOI2vH2e_!!2780321065.jpg","查看主图")</x:f>
        <x:v>HYPERLINK is not implemented. linkLocation=https://img.alicdn.com/bao/uploaded/i1/2780321065/O1CN01jUiBecrwXOI2vH2e_!!2780321065.jpg, friendlyName=查看主图</x:v>
      </x:c>
      <x:c r="O533" s="9" t="str">
        <x:v>标题及既有类目语义复核；【羊毛】Lakoradior拉珂蒂减龄名媛女2025秋冬新款优雅鱼尾半身裙；原类目及标题已能确认半身裙；展示使用已知大类，未知裙长下沉到结构字段，不强猜长短。</x:v>
      </x:c>
      <x:c r="P533" s="9" t="str">
        <x:v>普通男女装</x:v>
      </x:c>
      <x:c r="Q533" s="9" t="str">
        <x:v>W_SKIRTS_AVGPAID_1700_1800_ANNUAL2026.xlsx</x:v>
      </x:c>
      <x:c r="R533" s="9" t="str">
        <x:v>默认</x:v>
      </x:c>
      <x:c r="S533" s="9" t="n">
        <x:v>331</x:v>
      </x:c>
      <x:c r="T533" s="9" t="str">
        <x:v>c25ed77c53c7c5cfcf728778a0e9b297d8689503f62756a939cbd534ca9b587a</x:v>
      </x:c>
      <x:c r="U533" s="9" t="str">
        <x:v>W_SKIRTS_AVGPAID_1700_1800_ANNUAL2026</x:v>
      </x:c>
      <x:c r="V533" s="9" t="str">
        <x:v>W_SKIRTS_AVGPAID_1700_1800_ANNUAL2026.xlsx / 默认 / 第331行 / SHA256 c25ed77c53c7c5cfcf728778a0e9b297d8689503f62756a939cbd534ca9b587a</x:v>
      </x:c>
    </x:row>
    <x:row r="534" ht="58" customHeight="1">
      <x:c r="A534" s="23" t="str">
        <x:v>985559720495</x:v>
      </x:c>
      <x:c r="B534" s="22"/>
      <x:c r="C534" s="22"/>
      <x:c r="D534" s="22"/>
      <x:c r="E534" s="9" t="str">
        <x:v>裙长未明确</x:v>
      </x:c>
      <x:c r="F534" s="9" t="str">
        <x:v>裙装</x:v>
      </x:c>
      <x:c r="G534" s="9" t="str">
        <x:v>半身裙</x:v>
      </x:c>
      <x:c r="H534" s="9" t="str">
        <x:v>女</x:v>
      </x:c>
      <x:c r="I534" s="9" t="str">
        <x:v>【商场同款】Lakoradior拉珂蒂25秋冬通勤高腰显瘦包臀半身裙</x:v>
      </x:c>
      <x:c r="J534" s="9" t="str">
        <x:v>LA KORADIOR</x:v>
      </x:c>
      <x:c r="K534" s="24" t="n">
        <x:v>1778.76</x:v>
      </x:c>
      <x:c r="L534" s="25" t="e">
        <x:f>HYPERLINK("https://item.taobao.com/item.htm?id=985559720495","打开商品")</x:f>
        <x:v>HYPERLINK is not implemented. linkLocation=https://item.taobao.com/item.htm?id=985559720495, friendlyName=打开商品</x:v>
      </x:c>
      <x:c r="M534" s="25" t="e">
        <x:f>HYPERLINK("https://data.zhiyitech.cn/itemDetail/overview/base?itemId=985559720495","打开知衣")</x:f>
        <x:v>HYPERLINK is not implemented. linkLocation=https://data.zhiyitech.cn/itemDetail/overview/base?itemId=985559720495, friendlyName=打开知衣</x:v>
      </x:c>
      <x:c r="N534" s="25" t="e">
        <x:f>HYPERLINK("https://img.alicdn.com/bao/uploaded/i4/2780321065/O1CN01qUlTn81rZ2J2vH2e_!!2780321065.jpg","查看主图")</x:f>
        <x:v>HYPERLINK is not implemented. linkLocation=https://img.alicdn.com/bao/uploaded/i4/2780321065/O1CN01qUlTn81rZ2J2vH2e_!!2780321065.jpg, friendlyName=查看主图</x:v>
      </x:c>
      <x:c r="O534" s="9" t="str">
        <x:v>标题及既有类目语义复核；【商场同款】Lakoradior拉珂蒂25秋冬通勤高腰显瘦包臀半身裙；原类目及标题已能确认半身裙；展示使用已知大类，未知裙长下沉到结构字段，不强猜长短。</x:v>
      </x:c>
      <x:c r="P534" s="9" t="str">
        <x:v>普通男女装</x:v>
      </x:c>
      <x:c r="Q534" s="9" t="str">
        <x:v>W_SKIRTS_AVGPAID_1700_1800_ANNUAL2026.xlsx</x:v>
      </x:c>
      <x:c r="R534" s="9" t="str">
        <x:v>默认</x:v>
      </x:c>
      <x:c r="S534" s="9" t="n">
        <x:v>111</x:v>
      </x:c>
      <x:c r="T534" s="9" t="str">
        <x:v>c25ed77c53c7c5cfcf728778a0e9b297d8689503f62756a939cbd534ca9b587a</x:v>
      </x:c>
      <x:c r="U534" s="9" t="str">
        <x:v>W_SKIRTS_AVGPAID_1700_1800_ANNUAL2026</x:v>
      </x:c>
      <x:c r="V534" s="9" t="str">
        <x:v>W_SKIRTS_AVGPAID_1700_1800_ANNUAL2026.xlsx / 默认 / 第111行 / SHA256 c25ed77c53c7c5cfcf728778a0e9b297d8689503f62756a939cbd534ca9b587a</x:v>
      </x:c>
    </x:row>
    <x:row r="535" ht="58" customHeight="1">
      <x:c r="A535" s="23" t="str">
        <x:v>989769374166</x:v>
      </x:c>
      <x:c r="B535" s="22"/>
      <x:c r="C535" s="22"/>
      <x:c r="D535" s="22"/>
      <x:c r="E535" s="9" t="str">
        <x:v>裙长未明确</x:v>
      </x:c>
      <x:c r="F535" s="9" t="str">
        <x:v>裙装</x:v>
      </x:c>
      <x:c r="G535" s="9" t="str">
        <x:v>半身裙</x:v>
      </x:c>
      <x:c r="H535" s="9" t="str">
        <x:v>女</x:v>
      </x:c>
      <x:c r="I535" s="9" t="str">
        <x:v>【商场同款】Lakoradior拉珂蒂气质秋冬新款新中式盘扣开衩半身裙</x:v>
      </x:c>
      <x:c r="J535" s="9" t="str">
        <x:v>LA KORADIOR</x:v>
      </x:c>
      <x:c r="K535" s="24" t="n">
        <x:v>1516.98</x:v>
      </x:c>
      <x:c r="L535" s="25" t="e">
        <x:f>HYPERLINK("https://item.taobao.com/item.htm?id=989769374166","打开商品")</x:f>
        <x:v>HYPERLINK is not implemented. linkLocation=https://item.taobao.com/item.htm?id=989769374166, friendlyName=打开商品</x:v>
      </x:c>
      <x:c r="M535" s="25" t="e">
        <x:f>HYPERLINK("https://data.zhiyitech.cn/itemDetail/overview/base?itemId=989769374166","打开知衣")</x:f>
        <x:v>HYPERLINK is not implemented. linkLocation=https://data.zhiyitech.cn/itemDetail/overview/base?itemId=989769374166, friendlyName=打开知衣</x:v>
      </x:c>
      <x:c r="N535" s="25" t="e">
        <x:f>HYPERLINK("https://img.alicdn.com/bao/uploaded/i3/2780321065/O1CN01u2Te2YghGQL2vH2e_!!2780321065.jpg","查看主图")</x:f>
        <x:v>HYPERLINK is not implemented. linkLocation=https://img.alicdn.com/bao/uploaded/i3/2780321065/O1CN01u2Te2YghGQL2vH2e_!!2780321065.jpg, friendlyName=查看主图</x:v>
      </x:c>
      <x:c r="O535" s="9" t="str">
        <x:v>标题及既有类目语义复核；【商场同款】Lakoradior拉珂蒂气质秋冬新款新中式盘扣开衩半身裙；原类目及标题已能确认半身裙；展示使用已知大类，未知裙长下沉到结构字段，不强猜长短。</x:v>
      </x:c>
      <x:c r="P535" s="9" t="str">
        <x:v>普通男女装</x:v>
      </x:c>
      <x:c r="Q535" s="9" t="str">
        <x:v>W_SKIRTS_AVGPAID_1500_1600_ANNUAL2026.xlsx</x:v>
      </x:c>
      <x:c r="R535" s="9" t="str">
        <x:v>默认</x:v>
      </x:c>
      <x:c r="S535" s="9" t="n">
        <x:v>319</x:v>
      </x:c>
      <x:c r="T535" s="9" t="str">
        <x:v>deede8b56943df4f914be45dba170f12e69064023d6ef0e88dbde1764f6ba23e</x:v>
      </x:c>
      <x:c r="U535" s="9" t="str">
        <x:v>W_SKIRTS_AVGPAID_1500_1600_ANNUAL2026</x:v>
      </x:c>
      <x:c r="V535" s="9" t="str">
        <x:v>W_SKIRTS_AVGPAID_1500_1600_ANNUAL2026.xlsx / 默认 / 第319行 / SHA256 deede8b56943df4f914be45dba170f12e69064023d6ef0e88dbde1764f6ba23e</x:v>
      </x:c>
    </x:row>
    <x:row r="536" ht="58" customHeight="1">
      <x:c r="A536" s="23" t="str">
        <x:v>1040985547316</x:v>
      </x:c>
      <x:c r="B536" s="22"/>
      <x:c r="C536" s="22"/>
      <x:c r="D536" s="22"/>
      <x:c r="E536" s="9" t="str">
        <x:v>裙长未明确</x:v>
      </x:c>
      <x:c r="F536" s="9" t="str">
        <x:v>裙装</x:v>
      </x:c>
      <x:c r="G536" s="9" t="str">
        <x:v>半身裙</x:v>
      </x:c>
      <x:c r="H536" s="9" t="str">
        <x:v>女</x:v>
      </x:c>
      <x:c r="I536" s="9" t="str">
        <x:v>【鞠婧祎同款】LACERTA2026夏季新品透感欧根纱半裙镂空花边中裙</x:v>
      </x:c>
      <x:c r="J536" s="9" t="str">
        <x:v>LACERTA</x:v>
      </x:c>
      <x:c r="K536" s="24" t="n">
        <x:v>1544.92</x:v>
      </x:c>
      <x:c r="L536" s="25" t="e">
        <x:f>HYPERLINK("https://item.taobao.com/item.htm?id=1040985547316","打开商品")</x:f>
        <x:v>HYPERLINK is not implemented. linkLocation=https://item.taobao.com/item.htm?id=1040985547316, friendlyName=打开商品</x:v>
      </x:c>
      <x:c r="M536" s="25" t="e">
        <x:f>HYPERLINK("https://data.zhiyitech.cn/itemDetail/overview/base?itemId=1040985547316","打开知衣")</x:f>
        <x:v>HYPERLINK is not implemented. linkLocation=https://data.zhiyitech.cn/itemDetail/overview/base?itemId=1040985547316, friendlyName=打开知衣</x:v>
      </x:c>
      <x:c r="N536" s="25" t="e">
        <x:f>HYPERLINK("https://img.alicdn.com/bao/uploaded/i2/2214922070980/O1CN01VrdcceBNNHB2vH2e_!!2214922070980.jpg","查看主图")</x:f>
        <x:v>HYPERLINK is not implemented. linkLocation=https://img.alicdn.com/bao/uploaded/i2/2214922070980/O1CN01VrdcceBNNHB2vH2e_!!2214922070980.jpg, friendlyName=查看主图</x:v>
      </x:c>
      <x:c r="O536" s="9" t="str">
        <x:v>标题及既有类目语义复核；【鞠婧祎同款】LACERTA2026夏季新品透感欧根纱半裙镂空花边中裙；原类目及标题已能确认半身裙；展示使用已知大类，未知裙长下沉到结构字段，不强猜长短。</x:v>
      </x:c>
      <x:c r="P536" s="9" t="str">
        <x:v>普通男女装</x:v>
      </x:c>
      <x:c r="Q536" s="9" t="str">
        <x:v>W_SKIRTS_AVGPAID_1500_1600_ANNUAL2026.xlsx</x:v>
      </x:c>
      <x:c r="R536" s="9" t="str">
        <x:v>默认</x:v>
      </x:c>
      <x:c r="S536" s="9" t="n">
        <x:v>310</x:v>
      </x:c>
      <x:c r="T536" s="9" t="str">
        <x:v>deede8b56943df4f914be45dba170f12e69064023d6ef0e88dbde1764f6ba23e</x:v>
      </x:c>
      <x:c r="U536" s="9" t="str">
        <x:v>W_SKIRTS_AVGPAID_1500_1600_ANNUAL2026</x:v>
      </x:c>
      <x:c r="V536" s="9" t="str">
        <x:v>W_SKIRTS_AVGPAID_1500_1600_ANNUAL2026.xlsx / 默认 / 第310行 / SHA256 deede8b56943df4f914be45dba170f12e69064023d6ef0e88dbde1764f6ba23e</x:v>
      </x:c>
    </x:row>
    <x:row r="537" ht="58" customHeight="1">
      <x:c r="A537" s="23" t="str">
        <x:v>1008478831496</x:v>
      </x:c>
      <x:c r="B537" s="22"/>
      <x:c r="C537" s="22"/>
      <x:c r="D537" s="22"/>
      <x:c r="E537" s="9" t="str">
        <x:v>裙长未明确</x:v>
      </x:c>
      <x:c r="F537" s="9" t="str">
        <x:v>裙装</x:v>
      </x:c>
      <x:c r="G537" s="9" t="str">
        <x:v>半身裙</x:v>
      </x:c>
      <x:c r="H537" s="9" t="str">
        <x:v>女</x:v>
      </x:c>
      <x:c r="I537" s="9" t="str">
        <x:v>LACOSTE法国鳄鱼女装26春季新款时尚侧拉链网球运动半身裙|JF0751</x:v>
      </x:c>
      <x:c r="J537" s="9" t="str">
        <x:v>LACOSTE/拉科斯特</x:v>
      </x:c>
      <x:c r="K537" s="24" t="n">
        <x:v>1330.04</x:v>
      </x:c>
      <x:c r="L537" s="25" t="e">
        <x:f>HYPERLINK("https://item.taobao.com/item.htm?id=1008478831496","打开商品")</x:f>
        <x:v>HYPERLINK is not implemented. linkLocation=https://item.taobao.com/item.htm?id=1008478831496, friendlyName=打开商品</x:v>
      </x:c>
      <x:c r="M537" s="25" t="e">
        <x:f>HYPERLINK("https://data.zhiyitech.cn/itemDetail/overview/base?itemId=1008478831496","打开知衣")</x:f>
        <x:v>HYPERLINK is not implemented. linkLocation=https://data.zhiyitech.cn/itemDetail/overview/base?itemId=1008478831496, friendlyName=打开知衣</x:v>
      </x:c>
      <x:c r="N537" s="25" t="e">
        <x:f>HYPERLINK("https://img.alicdn.com/bao/uploaded/i2/1695300927/O1CN01o0Bfa1IYrjI1chua-1695300927.jpg","查看主图")</x:f>
        <x:v>HYPERLINK is not implemented. linkLocation=https://img.alicdn.com/bao/uploaded/i2/1695300927/O1CN01o0Bfa1IYrjI1chua-1695300927.jpg, friendlyName=查看主图</x:v>
      </x:c>
      <x:c r="O537" s="9" t="str">
        <x:v>标题及既有类目语义复核；LACOSTE法国鳄鱼女装26春季新款时尚侧拉链网球运动半身裙|JF0751；原类目及标题已能确认半身裙；展示使用已知大类，未知裙长下沉到结构字段，不强猜长短。</x:v>
      </x:c>
      <x:c r="P537" s="9" t="str">
        <x:v>普通男女装</x:v>
      </x:c>
      <x:c r="Q537" s="9" t="str">
        <x:v>W_SKIRTS_AVGPAID_1300_1400_ANNUAL2026.xlsx</x:v>
      </x:c>
      <x:c r="R537" s="9" t="str">
        <x:v>默认</x:v>
      </x:c>
      <x:c r="S537" s="9" t="n">
        <x:v>342</x:v>
      </x:c>
      <x:c r="T537" s="9" t="str">
        <x:v>bd4dae1e08e9eca7ddd0669235bf59107cdc418b9c2898fc16f36a7ab5748692</x:v>
      </x:c>
      <x:c r="U537" s="9" t="str">
        <x:v>W_SKIRTS_AVGPAID_1300_1400_ANNUAL2026</x:v>
      </x:c>
      <x:c r="V537" s="9" t="str">
        <x:v>W_SKIRTS_AVGPAID_1300_1400_ANNUAL2026.xlsx / 默认 / 第342行 / SHA256 bd4dae1e08e9eca7ddd0669235bf59107cdc418b9c2898fc16f36a7ab5748692</x:v>
      </x:c>
    </x:row>
    <x:row r="538" ht="58" customHeight="1">
      <x:c r="A538" s="23" t="str">
        <x:v>1062693257880</x:v>
      </x:c>
      <x:c r="B538" s="22"/>
      <x:c r="C538" s="22"/>
      <x:c r="D538" s="22"/>
      <x:c r="E538" s="9" t="str">
        <x:v>裙长未明确</x:v>
      </x:c>
      <x:c r="F538" s="9" t="str">
        <x:v>裙装</x:v>
      </x:c>
      <x:c r="G538" s="9" t="str">
        <x:v>半身裙</x:v>
      </x:c>
      <x:c r="H538" s="9" t="str">
        <x:v>女</x:v>
      </x:c>
      <x:c r="I538" s="9" t="str">
        <x:v>LACOSTE法国鳄鱼女装26秋季时尚优雅中腰棉质A字版半身裙|JF2492</x:v>
      </x:c>
      <x:c r="J538" s="9" t="str">
        <x:v>LACOSTE/拉科斯特</x:v>
      </x:c>
      <x:c r="K538" s="24" t="n">
        <x:v>1394.8</x:v>
      </x:c>
      <x:c r="L538" s="25" t="e">
        <x:f>HYPERLINK("https://item.taobao.com/item.htm?id=1062693257880","打开商品")</x:f>
        <x:v>HYPERLINK is not implemented. linkLocation=https://item.taobao.com/item.htm?id=1062693257880, friendlyName=打开商品</x:v>
      </x:c>
      <x:c r="M538" s="25" t="e">
        <x:f>HYPERLINK("https://data.zhiyitech.cn/itemDetail/overview/base?itemId=1062693257880","打开知衣")</x:f>
        <x:v>HYPERLINK is not implemented. linkLocation=https://data.zhiyitech.cn/itemDetail/overview/base?itemId=1062693257880, friendlyName=打开知衣</x:v>
      </x:c>
      <x:c r="N538" s="25" t="e">
        <x:f>HYPERLINK("https://img.alicdn.com/bao/uploaded/i2/1695300927/O1CN01SI8JSuNczfD1chua_!!4611686018427387199-0-item_pic.jpg","查看主图")</x:f>
        <x:v>HYPERLINK is not implemented. linkLocation=https://img.alicdn.com/bao/uploaded/i2/1695300927/O1CN01SI8JSuNczfD1chua_!!4611686018427387199-0-item_pic.jpg, friendlyName=查看主图</x:v>
      </x:c>
      <x:c r="O538" s="9" t="str">
        <x:v>标题及既有类目语义复核；LACOSTE法国鳄鱼女装26秋季时尚优雅中腰棉质A字版半身裙|JF2492；原类目及标题已能确认半身裙；展示使用已知大类，未知裙长下沉到结构字段，不强猜长短。</x:v>
      </x:c>
      <x:c r="P538" s="9" t="str">
        <x:v>普通男女装</x:v>
      </x:c>
      <x:c r="Q538" s="9" t="str">
        <x:v>W_SKIRTS_AVGPAID_1300_1400_ANNUAL2026.xlsx</x:v>
      </x:c>
      <x:c r="R538" s="9" t="str">
        <x:v>默认</x:v>
      </x:c>
      <x:c r="S538" s="9" t="n">
        <x:v>476</x:v>
      </x:c>
      <x:c r="T538" s="9" t="str">
        <x:v>bd4dae1e08e9eca7ddd0669235bf59107cdc418b9c2898fc16f36a7ab5748692</x:v>
      </x:c>
      <x:c r="U538" s="9" t="str">
        <x:v>W_SKIRTS_AVGPAID_1300_1400_ANNUAL2026</x:v>
      </x:c>
      <x:c r="V538" s="9" t="str">
        <x:v>W_SKIRTS_AVGPAID_1300_1400_ANNUAL2026.xlsx / 默认 / 第476行 / SHA256 bd4dae1e08e9eca7ddd0669235bf59107cdc418b9c2898fc16f36a7ab5748692</x:v>
      </x:c>
    </x:row>
    <x:row r="539" ht="58" customHeight="1">
      <x:c r="A539" s="23" t="str">
        <x:v>1067645696410</x:v>
      </x:c>
      <x:c r="B539" s="22"/>
      <x:c r="C539" s="22"/>
      <x:c r="D539" s="22"/>
      <x:c r="E539" s="9" t="str">
        <x:v>裙长未明确</x:v>
      </x:c>
      <x:c r="F539" s="9" t="str">
        <x:v>裙装</x:v>
      </x:c>
      <x:c r="G539" s="9" t="str">
        <x:v>半身裙</x:v>
      </x:c>
      <x:c r="H539" s="9" t="str">
        <x:v>女</x:v>
      </x:c>
      <x:c r="I539" s="9" t="str">
        <x:v>LACOSTE法国鳄鱼女装26秋季新款休闲百搭百褶半身裙|JF8319</x:v>
      </x:c>
      <x:c r="J539" s="9" t="str">
        <x:v>LACOSTE/拉科斯特</x:v>
      </x:c>
      <x:c r="K539" s="24" t="n">
        <x:v>1312.6</x:v>
      </x:c>
      <x:c r="L539" s="25" t="e">
        <x:f>HYPERLINK("https://item.taobao.com/item.htm?id=1067645696410","打开商品")</x:f>
        <x:v>HYPERLINK is not implemented. linkLocation=https://item.taobao.com/item.htm?id=1067645696410, friendlyName=打开商品</x:v>
      </x:c>
      <x:c r="M539" s="25" t="e">
        <x:f>HYPERLINK("https://data.zhiyitech.cn/itemDetail/overview/base?itemId=1067645696410","打开知衣")</x:f>
        <x:v>HYPERLINK is not implemented. linkLocation=https://data.zhiyitech.cn/itemDetail/overview/base?itemId=1067645696410, friendlyName=打开知衣</x:v>
      </x:c>
      <x:c r="N539" s="25" t="e">
        <x:f>HYPERLINK("https://img.alicdn.com/bao/uploaded/i1/1695300927/O1CN01Kc5BvGvVn0I1chua-1695300927.jpg","查看主图")</x:f>
        <x:v>HYPERLINK is not implemented. linkLocation=https://img.alicdn.com/bao/uploaded/i1/1695300927/O1CN01Kc5BvGvVn0I1chua-1695300927.jpg, friendlyName=查看主图</x:v>
      </x:c>
      <x:c r="O539" s="9" t="str">
        <x:v>标题及既有类目语义复核；LACOSTE法国鳄鱼女装26秋季新款休闲百搭百褶半身裙|JF8319；原类目及标题已能确认半身裙；展示使用已知大类，未知裙长下沉到结构字段，不强猜长短。</x:v>
      </x:c>
      <x:c r="P539" s="9" t="str">
        <x:v>普通男女装</x:v>
      </x:c>
      <x:c r="Q539" s="9" t="str">
        <x:v>W_SKIRTS_AVGPAID_1300_1400_ANNUAL2026.xlsx</x:v>
      </x:c>
      <x:c r="R539" s="9" t="str">
        <x:v>默认</x:v>
      </x:c>
      <x:c r="S539" s="9" t="n">
        <x:v>326</x:v>
      </x:c>
      <x:c r="T539" s="9" t="str">
        <x:v>bd4dae1e08e9eca7ddd0669235bf59107cdc418b9c2898fc16f36a7ab5748692</x:v>
      </x:c>
      <x:c r="U539" s="9" t="str">
        <x:v>W_SKIRTS_AVGPAID_1300_1400_ANNUAL2026</x:v>
      </x:c>
      <x:c r="V539" s="9" t="str">
        <x:v>W_SKIRTS_AVGPAID_1300_1400_ANNUAL2026.xlsx / 默认 / 第326行 / SHA256 bd4dae1e08e9eca7ddd0669235bf59107cdc418b9c2898fc16f36a7ab5748692</x:v>
      </x:c>
    </x:row>
    <x:row r="540" ht="58" customHeight="1">
      <x:c r="A540" s="23" t="str">
        <x:v>1020878666446</x:v>
      </x:c>
      <x:c r="B540" s="22"/>
      <x:c r="C540" s="22"/>
      <x:c r="D540" s="22"/>
      <x:c r="E540" s="9" t="str">
        <x:v>裙长未明确</x:v>
      </x:c>
      <x:c r="F540" s="9" t="str">
        <x:v>裙装</x:v>
      </x:c>
      <x:c r="G540" s="9" t="str">
        <x:v>半身裙</x:v>
      </x:c>
      <x:c r="H540" s="9" t="str">
        <x:v>女</x:v>
      </x:c>
      <x:c r="I540" s="9" t="str">
        <x:v>【秀场同款】LANCY/朗姿2026夏新款气质通勤高腰A字伞摆棉半身裙</x:v>
      </x:c>
      <x:c r="J540" s="9" t="str">
        <x:v>LANCY</x:v>
      </x:c>
      <x:c r="K540" s="24" t="n">
        <x:v>1349.6</x:v>
      </x:c>
      <x:c r="L540" s="25" t="e">
        <x:f>HYPERLINK("https://item.taobao.com/item.htm?id=1020878666446","打开商品")</x:f>
        <x:v>HYPERLINK is not implemented. linkLocation=https://item.taobao.com/item.htm?id=1020878666446, friendlyName=打开商品</x:v>
      </x:c>
      <x:c r="M540" s="25" t="e">
        <x:f>HYPERLINK("https://data.zhiyitech.cn/itemDetail/overview/base?itemId=1020878666446","打开知衣")</x:f>
        <x:v>HYPERLINK is not implemented. linkLocation=https://data.zhiyitech.cn/itemDetail/overview/base?itemId=1020878666446, friendlyName=打开知衣</x:v>
      </x:c>
      <x:c r="N540" s="25" t="e">
        <x:f>HYPERLINK("https://img.alicdn.com/bao/uploaded/i4/2211444285261/O1CN019vmHW51ojapDUVh4O_!!4611686018427387725-0-item_pic.jpg","查看主图")</x:f>
        <x:v>HYPERLINK is not implemented. linkLocation=https://img.alicdn.com/bao/uploaded/i4/2211444285261/O1CN019vmHW51ojapDUVh4O_!!4611686018427387725-0-item_pic.jpg, friendlyName=查看主图</x:v>
      </x:c>
      <x:c r="O540" s="9" t="str">
        <x:v>标题及既有类目语义复核；【秀场同款】LANCY/朗姿2026夏新款气质通勤高腰A字伞摆棉半身裙；原类目及标题已能确认半身裙；展示使用已知大类，未知裙长下沉到结构字段，不强猜长短。</x:v>
      </x:c>
      <x:c r="P540" s="9" t="str">
        <x:v>普通男女装</x:v>
      </x:c>
      <x:c r="Q540" s="9" t="str">
        <x:v>W_SKIRTS_AVGPAID_1300_1400_ANNUAL2026.xlsx</x:v>
      </x:c>
      <x:c r="R540" s="9" t="str">
        <x:v>默认</x:v>
      </x:c>
      <x:c r="S540" s="9" t="n">
        <x:v>46</x:v>
      </x:c>
      <x:c r="T540" s="9" t="str">
        <x:v>bd4dae1e08e9eca7ddd0669235bf59107cdc418b9c2898fc16f36a7ab5748692</x:v>
      </x:c>
      <x:c r="U540" s="9" t="str">
        <x:v>W_SKIRTS_AVGPAID_1300_1400_ANNUAL2026</x:v>
      </x:c>
      <x:c r="V540" s="9" t="str">
        <x:v>W_SKIRTS_AVGPAID_1300_1400_ANNUAL2026.xlsx / 默认 / 第46行 / SHA256 bd4dae1e08e9eca7ddd0669235bf59107cdc418b9c2898fc16f36a7ab5748692</x:v>
      </x:c>
    </x:row>
    <x:row r="541" ht="58" customHeight="1">
      <x:c r="A541" s="23" t="str">
        <x:v>1022550816237</x:v>
      </x:c>
      <x:c r="B541" s="22"/>
      <x:c r="C541" s="22"/>
      <x:c r="D541" s="22"/>
      <x:c r="E541" s="9" t="str">
        <x:v>裙长未明确</x:v>
      </x:c>
      <x:c r="F541" s="9" t="str">
        <x:v>裙装</x:v>
      </x:c>
      <x:c r="G541" s="9" t="str">
        <x:v>半身裙</x:v>
      </x:c>
      <x:c r="H541" s="9" t="str">
        <x:v>女</x:v>
      </x:c>
      <x:c r="I541" s="9" t="str">
        <x:v>【国风提花】LANCY/朗姿2026夏季新款中式A字气质高级感长半身裙</x:v>
      </x:c>
      <x:c r="J541" s="9" t="str">
        <x:v>LANCY</x:v>
      </x:c>
      <x:c r="K541" s="24" t="n">
        <x:v>1336</x:v>
      </x:c>
      <x:c r="L541" s="25" t="e">
        <x:f>HYPERLINK("https://item.taobao.com/item.htm?id=1022550816237","打开商品")</x:f>
        <x:v>HYPERLINK is not implemented. linkLocation=https://item.taobao.com/item.htm?id=1022550816237, friendlyName=打开商品</x:v>
      </x:c>
      <x:c r="M541" s="25" t="e">
        <x:f>HYPERLINK("https://data.zhiyitech.cn/itemDetail/overview/base?itemId=1022550816237","打开知衣")</x:f>
        <x:v>HYPERLINK is not implemented. linkLocation=https://data.zhiyitech.cn/itemDetail/overview/base?itemId=1022550816237, friendlyName=打开知衣</x:v>
      </x:c>
      <x:c r="N541" s="25" t="e">
        <x:f>HYPERLINK("https://img.alicdn.com/bao/uploaded/i2/2211444285261/O1CN01uPFtJF1ojaq28z5bw_!!4611686018427387725-0-item_pic.jpg","查看主图")</x:f>
        <x:v>HYPERLINK is not implemented. linkLocation=https://img.alicdn.com/bao/uploaded/i2/2211444285261/O1CN01uPFtJF1ojaq28z5bw_!!4611686018427387725-0-item_pic.jpg, friendlyName=查看主图</x:v>
      </x:c>
      <x:c r="O541" s="9" t="str">
        <x:v>标题及既有类目语义复核；【国风提花】LANCY/朗姿2026夏季新款中式A字气质高级感长半身裙；原类目及标题已能确认半身裙；展示使用已知大类，未知裙长下沉到结构字段，不强猜长短。</x:v>
      </x:c>
      <x:c r="P541" s="9" t="str">
        <x:v>普通男女装</x:v>
      </x:c>
      <x:c r="Q541" s="9" t="str">
        <x:v>W_SKIRTS_AVGPAID_1300_1400_ANNUAL2026.xlsx</x:v>
      </x:c>
      <x:c r="R541" s="9" t="str">
        <x:v>默认</x:v>
      </x:c>
      <x:c r="S541" s="9" t="n">
        <x:v>400</x:v>
      </x:c>
      <x:c r="T541" s="9" t="str">
        <x:v>bd4dae1e08e9eca7ddd0669235bf59107cdc418b9c2898fc16f36a7ab5748692</x:v>
      </x:c>
      <x:c r="U541" s="9" t="str">
        <x:v>W_SKIRTS_AVGPAID_1300_1400_ANNUAL2026</x:v>
      </x:c>
      <x:c r="V541" s="9" t="str">
        <x:v>W_SKIRTS_AVGPAID_1300_1400_ANNUAL2026.xlsx / 默认 / 第400行 / SHA256 bd4dae1e08e9eca7ddd0669235bf59107cdc418b9c2898fc16f36a7ab5748692</x:v>
      </x:c>
    </x:row>
    <x:row r="542" ht="58" customHeight="1">
      <x:c r="A542" s="23" t="str">
        <x:v>1055703506297</x:v>
      </x:c>
      <x:c r="B542" s="22"/>
      <x:c r="C542" s="22"/>
      <x:c r="D542" s="22"/>
      <x:c r="E542" s="9" t="str">
        <x:v>裙长未明确</x:v>
      </x:c>
      <x:c r="F542" s="9" t="str">
        <x:v>裙装</x:v>
      </x:c>
      <x:c r="G542" s="9" t="str">
        <x:v>半身裙</x:v>
      </x:c>
      <x:c r="H542" s="9" t="str">
        <x:v>女</x:v>
      </x:c>
      <x:c r="I542" s="9" t="str">
        <x:v>LANCY/朗姿2026年秋季新款藏蓝色优雅百搭压褶裙子通勤半身裙女</x:v>
      </x:c>
      <x:c r="J542" s="9" t="str">
        <x:v>LANCY</x:v>
      </x:c>
      <x:c r="K542" s="24" t="n">
        <x:v>1785.25</x:v>
      </x:c>
      <x:c r="L542" s="25" t="e">
        <x:f>HYPERLINK("https://item.taobao.com/item.htm?id=1055703506297","打开商品")</x:f>
        <x:v>HYPERLINK is not implemented. linkLocation=https://item.taobao.com/item.htm?id=1055703506297, friendlyName=打开商品</x:v>
      </x:c>
      <x:c r="M542" s="25" t="e">
        <x:f>HYPERLINK("https://data.zhiyitech.cn/itemDetail/overview/base?itemId=1055703506297","打开知衣")</x:f>
        <x:v>HYPERLINK is not implemented. linkLocation=https://data.zhiyitech.cn/itemDetail/overview/base?itemId=1055703506297, friendlyName=打开知衣</x:v>
      </x:c>
      <x:c r="N542" s="25" t="e">
        <x:f>HYPERLINK("https://img.alicdn.com/bao/uploaded/i1/2211444285261/O1CN01DiOW031ojaqecs0MO_!!4611686018427387725-0-item_pic.jpg","查看主图")</x:f>
        <x:v>HYPERLINK is not implemented. linkLocation=https://img.alicdn.com/bao/uploaded/i1/2211444285261/O1CN01DiOW031ojaqecs0MO_!!4611686018427387725-0-item_pic.jpg, friendlyName=查看主图</x:v>
      </x:c>
      <x:c r="O542" s="9" t="str">
        <x:v>标题及既有类目语义复核；LANCY/朗姿2026年秋季新款藏蓝色优雅百搭压褶裙子通勤半身裙女；原类目及标题已能确认半身裙；展示使用已知大类，未知裙长下沉到结构字段，不强猜长短。</x:v>
      </x:c>
      <x:c r="P542" s="9" t="str">
        <x:v>普通男女装</x:v>
      </x:c>
      <x:c r="Q542" s="9" t="str">
        <x:v>W_SKIRTS_AVGPAID_1700_1800_ANNUAL2026.xlsx</x:v>
      </x:c>
      <x:c r="R542" s="9" t="str">
        <x:v>默认</x:v>
      </x:c>
      <x:c r="S542" s="9" t="n">
        <x:v>259</x:v>
      </x:c>
      <x:c r="T542" s="9" t="str">
        <x:v>c25ed77c53c7c5cfcf728778a0e9b297d8689503f62756a939cbd534ca9b587a</x:v>
      </x:c>
      <x:c r="U542" s="9" t="str">
        <x:v>W_SKIRTS_AVGPAID_1700_1800_ANNUAL2026</x:v>
      </x:c>
      <x:c r="V542" s="9" t="str">
        <x:v>W_SKIRTS_AVGPAID_1700_1800_ANNUAL2026.xlsx / 默认 / 第259行 / SHA256 c25ed77c53c7c5cfcf728778a0e9b297d8689503f62756a939cbd534ca9b587a</x:v>
      </x:c>
    </x:row>
    <x:row r="543" ht="58" customHeight="1">
      <x:c r="A543" s="23" t="str">
        <x:v>1059851017971</x:v>
      </x:c>
      <x:c r="B543" s="22"/>
      <x:c r="C543" s="22"/>
      <x:c r="D543" s="22"/>
      <x:c r="E543" s="9" t="str">
        <x:v>裙长未明确</x:v>
      </x:c>
      <x:c r="F543" s="9" t="str">
        <x:v>裙装</x:v>
      </x:c>
      <x:c r="G543" s="9" t="str">
        <x:v>半身裙</x:v>
      </x:c>
      <x:c r="H543" s="9" t="str">
        <x:v>女</x:v>
      </x:c>
      <x:c r="I543" s="9" t="str">
        <x:v>【绵羊毛】LANCY/朗姿2026年秋季新款气质简约A字伞裙灰色半裙女</x:v>
      </x:c>
      <x:c r="J543" s="9" t="str">
        <x:v>LANCY</x:v>
      </x:c>
      <x:c r="K543" s="24" t="n">
        <x:v>1357.87</x:v>
      </x:c>
      <x:c r="L543" s="25" t="e">
        <x:f>HYPERLINK("https://item.taobao.com/item.htm?id=1059851017971","打开商品")</x:f>
        <x:v>HYPERLINK is not implemented. linkLocation=https://item.taobao.com/item.htm?id=1059851017971, friendlyName=打开商品</x:v>
      </x:c>
      <x:c r="M543" s="25" t="e">
        <x:f>HYPERLINK("https://data.zhiyitech.cn/itemDetail/overview/base?itemId=1059851017971","打开知衣")</x:f>
        <x:v>HYPERLINK is not implemented. linkLocation=https://data.zhiyitech.cn/itemDetail/overview/base?itemId=1059851017971, friendlyName=打开知衣</x:v>
      </x:c>
      <x:c r="N543" s="25" t="e">
        <x:f>HYPERLINK("https://img.alicdn.com/bao/uploaded/i4/2211444285261/O1CN01lPBWjr1ojaqr3FItp_!!4611686018427387725-0-item_pic.jpg","查看主图")</x:f>
        <x:v>HYPERLINK is not implemented. linkLocation=https://img.alicdn.com/bao/uploaded/i4/2211444285261/O1CN01lPBWjr1ojaqr3FItp_!!4611686018427387725-0-item_pic.jpg, friendlyName=查看主图</x:v>
      </x:c>
      <x:c r="O543" s="9" t="str">
        <x:v>标题及既有类目语义复核；【绵羊毛】LANCY/朗姿2026年秋季新款气质简约A字伞裙灰色半裙女；原类目及标题已能确认半身裙；展示使用已知大类，未知裙长下沉到结构字段，不强猜长短。</x:v>
      </x:c>
      <x:c r="P543" s="9" t="str">
        <x:v>普通男女装</x:v>
      </x:c>
      <x:c r="Q543" s="9" t="str">
        <x:v>W_SKIRTS_AVGPAID_1300_1400_ANNUAL2026.xlsx</x:v>
      </x:c>
      <x:c r="R543" s="9" t="str">
        <x:v>默认</x:v>
      </x:c>
      <x:c r="S543" s="9" t="n">
        <x:v>26</x:v>
      </x:c>
      <x:c r="T543" s="9" t="str">
        <x:v>bd4dae1e08e9eca7ddd0669235bf59107cdc418b9c2898fc16f36a7ab5748692</x:v>
      </x:c>
      <x:c r="U543" s="9" t="str">
        <x:v>W_SKIRTS_AVGPAID_1300_1400_ANNUAL2026</x:v>
      </x:c>
      <x:c r="V543" s="9" t="str">
        <x:v>W_SKIRTS_AVGPAID_1300_1400_ANNUAL2026.xlsx / 默认 / 第26行 / SHA256 bd4dae1e08e9eca7ddd0669235bf59107cdc418b9c2898fc16f36a7ab5748692</x:v>
      </x:c>
    </x:row>
    <x:row r="544" ht="58" customHeight="1">
      <x:c r="A544" s="23" t="str">
        <x:v>1071992902184</x:v>
      </x:c>
      <x:c r="B544" s="22"/>
      <x:c r="C544" s="22"/>
      <x:c r="D544" s="22"/>
      <x:c r="E544" s="9" t="str">
        <x:v>裙长未明确</x:v>
      </x:c>
      <x:c r="F544" s="9" t="str">
        <x:v>裙装</x:v>
      </x:c>
      <x:c r="G544" s="9" t="str">
        <x:v>半身裙</x:v>
      </x:c>
      <x:c r="H544" s="9" t="str">
        <x:v>女</x:v>
      </x:c>
      <x:c r="I544" s="9" t="str">
        <x:v>【纯羊毛】LANCY/朗姿26冬季新款深棕高腰直筒微鱼尾包臀半身裙女</x:v>
      </x:c>
      <x:c r="J544" s="9" t="str">
        <x:v>LANCY</x:v>
      </x:c>
      <x:c r="K544" s="24" t="n">
        <x:v>1514.37</x:v>
      </x:c>
      <x:c r="L544" s="25" t="e">
        <x:f>HYPERLINK("https://item.taobao.com/item.htm?id=1071992902184","打开商品")</x:f>
        <x:v>HYPERLINK is not implemented. linkLocation=https://item.taobao.com/item.htm?id=1071992902184, friendlyName=打开商品</x:v>
      </x:c>
      <x:c r="M544" s="25" t="e">
        <x:f>HYPERLINK("https://data.zhiyitech.cn/itemDetail/overview/base?itemId=1071992902184","打开知衣")</x:f>
        <x:v>HYPERLINK is not implemented. linkLocation=https://data.zhiyitech.cn/itemDetail/overview/base?itemId=1071992902184, friendlyName=打开知衣</x:v>
      </x:c>
      <x:c r="N544" s="25" t="e">
        <x:f>HYPERLINK("https://img.alicdn.com/bao/uploaded/i3/2211444285261/O1CN01gDQO5mtGTzI2vH2e_!!4611686018427387725-0-item_pic.jpg","查看主图")</x:f>
        <x:v>HYPERLINK is not implemented. linkLocation=https://img.alicdn.com/bao/uploaded/i3/2211444285261/O1CN01gDQO5mtGTzI2vH2e_!!4611686018427387725-0-item_pic.jpg, friendlyName=查看主图</x:v>
      </x:c>
      <x:c r="O544" s="9" t="str">
        <x:v>标题及既有类目语义复核；【纯羊毛】LANCY/朗姿26冬季新款深棕高腰直筒微鱼尾包臀半身裙女；原类目及标题已能确认半身裙；展示使用已知大类，未知裙长下沉到结构字段，不强猜长短。</x:v>
      </x:c>
      <x:c r="P544" s="9" t="str">
        <x:v>普通男女装</x:v>
      </x:c>
      <x:c r="Q544" s="9" t="str">
        <x:v>W_SKIRTS_AVGPAID_1500_1600_ANNUAL2026.xlsx</x:v>
      </x:c>
      <x:c r="R544" s="9" t="str">
        <x:v>默认</x:v>
      </x:c>
      <x:c r="S544" s="9" t="n">
        <x:v>64</x:v>
      </x:c>
      <x:c r="T544" s="9" t="str">
        <x:v>deede8b56943df4f914be45dba170f12e69064023d6ef0e88dbde1764f6ba23e</x:v>
      </x:c>
      <x:c r="U544" s="9" t="str">
        <x:v>W_SKIRTS_AVGPAID_1500_1600_ANNUAL2026</x:v>
      </x:c>
      <x:c r="V544" s="9" t="str">
        <x:v>W_SKIRTS_AVGPAID_1500_1600_ANNUAL2026.xlsx / 默认 / 第64行 / SHA256 deede8b56943df4f914be45dba170f12e69064023d6ef0e88dbde1764f6ba23e</x:v>
      </x:c>
    </x:row>
    <x:row r="545" ht="58" customHeight="1">
      <x:c r="A545" s="23" t="str">
        <x:v>1073025625604</x:v>
      </x:c>
      <x:c r="B545" s="22"/>
      <x:c r="C545" s="22"/>
      <x:c r="D545" s="22"/>
      <x:c r="E545" s="9" t="str">
        <x:v>裙长未明确</x:v>
      </x:c>
      <x:c r="F545" s="9" t="str">
        <x:v>裙装</x:v>
      </x:c>
      <x:c r="G545" s="9" t="str">
        <x:v>半身裙</x:v>
      </x:c>
      <x:c r="H545" s="9" t="str">
        <x:v>女</x:v>
      </x:c>
      <x:c r="I545" s="9" t="str">
        <x:v>【绵羊毛】LANCY/朗姿26冬新款高腰垂感A字大伞摆半身裙女通勤</x:v>
      </x:c>
      <x:c r="J545" s="9" t="str">
        <x:v>LANCY</x:v>
      </x:c>
      <x:c r="K545" s="24" t="n">
        <x:v>1788.08</x:v>
      </x:c>
      <x:c r="L545" s="25" t="e">
        <x:f>HYPERLINK("https://item.taobao.com/item.htm?id=1073025625604","打开商品")</x:f>
        <x:v>HYPERLINK is not implemented. linkLocation=https://item.taobao.com/item.htm?id=1073025625604, friendlyName=打开商品</x:v>
      </x:c>
      <x:c r="M545" s="25" t="e">
        <x:f>HYPERLINK("https://data.zhiyitech.cn/itemDetail/overview/base?itemId=1073025625604","打开知衣")</x:f>
        <x:v>HYPERLINK is not implemented. linkLocation=https://data.zhiyitech.cn/itemDetail/overview/base?itemId=1073025625604, friendlyName=打开知衣</x:v>
      </x:c>
      <x:c r="N545" s="25" t="e">
        <x:f>HYPERLINK("https://img.alicdn.com/bao/uploaded/i3/2211444285261/O1CN01AzOIPI1Xm2D2vH2e_!!4611686018427387725-0-item_pic.jpg","查看主图")</x:f>
        <x:v>HYPERLINK is not implemented. linkLocation=https://img.alicdn.com/bao/uploaded/i3/2211444285261/O1CN01AzOIPI1Xm2D2vH2e_!!4611686018427387725-0-item_pic.jpg, friendlyName=查看主图</x:v>
      </x:c>
      <x:c r="O545" s="9" t="str">
        <x:v>标题及既有类目语义复核；【绵羊毛】LANCY/朗姿26冬新款高腰垂感A字大伞摆半身裙女通勤；原类目及标题已能确认半身裙；展示使用已知大类，未知裙长下沉到结构字段，不强猜长短。</x:v>
      </x:c>
      <x:c r="P545" s="9" t="str">
        <x:v>普通男女装</x:v>
      </x:c>
      <x:c r="Q545" s="9" t="str">
        <x:v>W_SKIRTS_AVGPAID_1700_1800_ANNUAL2026.xlsx</x:v>
      </x:c>
      <x:c r="R545" s="9" t="str">
        <x:v>默认</x:v>
      </x:c>
      <x:c r="S545" s="9" t="n">
        <x:v>132</x:v>
      </x:c>
      <x:c r="T545" s="9" t="str">
        <x:v>c25ed77c53c7c5cfcf728778a0e9b297d8689503f62756a939cbd534ca9b587a</x:v>
      </x:c>
      <x:c r="U545" s="9" t="str">
        <x:v>W_SKIRTS_AVGPAID_1700_1800_ANNUAL2026</x:v>
      </x:c>
      <x:c r="V545" s="9" t="str">
        <x:v>W_SKIRTS_AVGPAID_1700_1800_ANNUAL2026.xlsx / 默认 / 第132行 / SHA256 c25ed77c53c7c5cfcf728778a0e9b297d8689503f62756a939cbd534ca9b587a</x:v>
      </x:c>
    </x:row>
    <x:row r="546" ht="58" customHeight="1">
      <x:c r="A546" s="23" t="str">
        <x:v>1077102577873</x:v>
      </x:c>
      <x:c r="B546" s="22"/>
      <x:c r="C546" s="22"/>
      <x:c r="D546" s="22"/>
      <x:c r="E546" s="9" t="str">
        <x:v>裙长未明确</x:v>
      </x:c>
      <x:c r="F546" s="9" t="str">
        <x:v>裙装</x:v>
      </x:c>
      <x:c r="G546" s="9" t="str">
        <x:v>半身裙</x:v>
      </x:c>
      <x:c r="H546" s="9" t="str">
        <x:v>女</x:v>
      </x:c>
      <x:c r="I546" s="9" t="str">
        <x:v>LANCY/朗姿2026年冬季新款时尚复古深棕H直筒高腰仿皮半身裙女</x:v>
      </x:c>
      <x:c r="J546" s="9" t="str">
        <x:v>LANCY</x:v>
      </x:c>
      <x:c r="K546" s="24" t="n">
        <x:v>1365.46</x:v>
      </x:c>
      <x:c r="L546" s="25" t="e">
        <x:f>HYPERLINK("https://item.taobao.com/item.htm?id=1077102577873","打开商品")</x:f>
        <x:v>HYPERLINK is not implemented. linkLocation=https://item.taobao.com/item.htm?id=1077102577873, friendlyName=打开商品</x:v>
      </x:c>
      <x:c r="M546" s="25" t="e">
        <x:f>HYPERLINK("https://data.zhiyitech.cn/itemDetail/overview/base?itemId=1077102577873","打开知衣")</x:f>
        <x:v>HYPERLINK is not implemented. linkLocation=https://data.zhiyitech.cn/itemDetail/overview/base?itemId=1077102577873, friendlyName=打开知衣</x:v>
      </x:c>
      <x:c r="N546" s="25" t="e">
        <x:f>HYPERLINK("https://img.alicdn.com/bao/uploaded/i1/2211444285261/O1CN01qXsmfCdrXRF2vH2e_!!4611686018427387725-0-item_pic.jpg","查看主图")</x:f>
        <x:v>HYPERLINK is not implemented. linkLocation=https://img.alicdn.com/bao/uploaded/i1/2211444285261/O1CN01qXsmfCdrXRF2vH2e_!!4611686018427387725-0-item_pic.jpg, friendlyName=查看主图</x:v>
      </x:c>
      <x:c r="O546" s="9" t="str">
        <x:v>标题及既有类目语义复核；LANCY/朗姿2026年冬季新款时尚复古深棕H直筒高腰仿皮半身裙女；原类目及标题已能确认半身裙；展示使用已知大类，未知裙长下沉到结构字段，不强猜长短。</x:v>
      </x:c>
      <x:c r="P546" s="9" t="str">
        <x:v>普通男女装</x:v>
      </x:c>
      <x:c r="Q546" s="9" t="str">
        <x:v>W_SKIRTS_AVGPAID_1300_1400_ANNUAL2026.xlsx</x:v>
      </x:c>
      <x:c r="R546" s="9" t="str">
        <x:v>默认</x:v>
      </x:c>
      <x:c r="S546" s="9" t="n">
        <x:v>358</x:v>
      </x:c>
      <x:c r="T546" s="9" t="str">
        <x:v>bd4dae1e08e9eca7ddd0669235bf59107cdc418b9c2898fc16f36a7ab5748692</x:v>
      </x:c>
      <x:c r="U546" s="9" t="str">
        <x:v>W_SKIRTS_AVGPAID_1300_1400_ANNUAL2026</x:v>
      </x:c>
      <x:c r="V546" s="9" t="str">
        <x:v>W_SKIRTS_AVGPAID_1300_1400_ANNUAL2026.xlsx / 默认 / 第358行 / SHA256 bd4dae1e08e9eca7ddd0669235bf59107cdc418b9c2898fc16f36a7ab5748692</x:v>
      </x:c>
    </x:row>
    <x:row r="547" ht="58" customHeight="1">
      <x:c r="A547" s="23" t="str">
        <x:v>1077103645018</x:v>
      </x:c>
      <x:c r="B547" s="22"/>
      <x:c r="C547" s="22"/>
      <x:c r="D547" s="22"/>
      <x:c r="E547" s="9" t="str">
        <x:v>裙长未明确</x:v>
      </x:c>
      <x:c r="F547" s="9" t="str">
        <x:v>裙装</x:v>
      </x:c>
      <x:c r="G547" s="9" t="str">
        <x:v>半身裙</x:v>
      </x:c>
      <x:c r="H547" s="9" t="str">
        <x:v>女</x:v>
      </x:c>
      <x:c r="I547" s="9" t="str">
        <x:v>【绵羊毛】LANCY/朗姿2026冬季新款羊毛混纺压褶A字针织半身裙女</x:v>
      </x:c>
      <x:c r="J547" s="9" t="str">
        <x:v>LANCY</x:v>
      </x:c>
      <x:c r="K547" s="24" t="n">
        <x:v>1578.17</x:v>
      </x:c>
      <x:c r="L547" s="25" t="e">
        <x:f>HYPERLINK("https://item.taobao.com/item.htm?id=1077103645018","打开商品")</x:f>
        <x:v>HYPERLINK is not implemented. linkLocation=https://item.taobao.com/item.htm?id=1077103645018, friendlyName=打开商品</x:v>
      </x:c>
      <x:c r="M547" s="25" t="e">
        <x:f>HYPERLINK("https://data.zhiyitech.cn/itemDetail/overview/base?itemId=1077103645018","打开知衣")</x:f>
        <x:v>HYPERLINK is not implemented. linkLocation=https://data.zhiyitech.cn/itemDetail/overview/base?itemId=1077103645018, friendlyName=打开知衣</x:v>
      </x:c>
      <x:c r="N547" s="25" t="e">
        <x:f>HYPERLINK("https://img.alicdn.com/bao/uploaded/i3/2211444285261/O1CN01JV4FHh3GrkL2vH2e_!!4611686018427387725-0-item_pic.jpg","查看主图")</x:f>
        <x:v>HYPERLINK is not implemented. linkLocation=https://img.alicdn.com/bao/uploaded/i3/2211444285261/O1CN01JV4FHh3GrkL2vH2e_!!4611686018427387725-0-item_pic.jpg, friendlyName=查看主图</x:v>
      </x:c>
      <x:c r="O547" s="9" t="str">
        <x:v>标题及既有类目语义复核；【绵羊毛】LANCY/朗姿2026冬季新款羊毛混纺压褶A字针织半身裙女；原类目及标题已能确认半身裙；展示使用已知大类，未知裙长下沉到结构字段，不强猜长短。</x:v>
      </x:c>
      <x:c r="P547" s="9" t="str">
        <x:v>普通男女装</x:v>
      </x:c>
      <x:c r="Q547" s="9" t="str">
        <x:v>W_SKIRTS_AVGPAID_1500_1600_ANNUAL2026.xlsx</x:v>
      </x:c>
      <x:c r="R547" s="9" t="str">
        <x:v>默认</x:v>
      </x:c>
      <x:c r="S547" s="9" t="n">
        <x:v>383</x:v>
      </x:c>
      <x:c r="T547" s="9" t="str">
        <x:v>deede8b56943df4f914be45dba170f12e69064023d6ef0e88dbde1764f6ba23e</x:v>
      </x:c>
      <x:c r="U547" s="9" t="str">
        <x:v>W_SKIRTS_AVGPAID_1500_1600_ANNUAL2026</x:v>
      </x:c>
      <x:c r="V547" s="9" t="str">
        <x:v>W_SKIRTS_AVGPAID_1500_1600_ANNUAL2026.xlsx / 默认 / 第383行 / SHA256 deede8b56943df4f914be45dba170f12e69064023d6ef0e88dbde1764f6ba23e</x:v>
      </x:c>
    </x:row>
    <x:row r="548" ht="58" customHeight="1">
      <x:c r="A548" s="23" t="str">
        <x:v>1079231620867</x:v>
      </x:c>
      <x:c r="B548" s="22"/>
      <x:c r="C548" s="22"/>
      <x:c r="D548" s="22"/>
      <x:c r="E548" s="9" t="str">
        <x:v>裙长未明确</x:v>
      </x:c>
      <x:c r="F548" s="9" t="str">
        <x:v>裙装</x:v>
      </x:c>
      <x:c r="G548" s="9" t="str">
        <x:v>半身裙</x:v>
      </x:c>
      <x:c r="H548" s="9" t="str">
        <x:v>女</x:v>
      </x:c>
      <x:c r="I548" s="9" t="str">
        <x:v>【纯羊毛】LANCY/朗姿2026冬季新款复古格纹粗花呢A字半身伞裙女</x:v>
      </x:c>
      <x:c r="J548" s="9" t="str">
        <x:v>LANCY</x:v>
      </x:c>
      <x:c r="K548" s="24" t="n">
        <x:v>1722.34</x:v>
      </x:c>
      <x:c r="L548" s="25" t="e">
        <x:f>HYPERLINK("https://item.taobao.com/item.htm?id=1079231620867","打开商品")</x:f>
        <x:v>HYPERLINK is not implemented. linkLocation=https://item.taobao.com/item.htm?id=1079231620867, friendlyName=打开商品</x:v>
      </x:c>
      <x:c r="M548" s="25" t="e">
        <x:f>HYPERLINK("https://data.zhiyitech.cn/itemDetail/overview/base?itemId=1079231620867","打开知衣")</x:f>
        <x:v>HYPERLINK is not implemented. linkLocation=https://data.zhiyitech.cn/itemDetail/overview/base?itemId=1079231620867, friendlyName=打开知衣</x:v>
      </x:c>
      <x:c r="N548" s="25" t="e">
        <x:f>HYPERLINK("https://img.alicdn.com/bao/uploaded/i3/2211444285261/O1CN01ikxbg50QrLL2vH2e_!!4611686018427387725-0-item_pic.jpg","查看主图")</x:f>
        <x:v>HYPERLINK is not implemented. linkLocation=https://img.alicdn.com/bao/uploaded/i3/2211444285261/O1CN01ikxbg50QrLL2vH2e_!!4611686018427387725-0-item_pic.jpg, friendlyName=查看主图</x:v>
      </x:c>
      <x:c r="O548" s="9" t="str">
        <x:v>标题及既有类目语义复核；【纯羊毛】LANCY/朗姿2026冬季新款复古格纹粗花呢A字半身伞裙女；原类目及标题已能确认半身裙；展示使用已知大类，未知裙长下沉到结构字段，不强猜长短。</x:v>
      </x:c>
      <x:c r="P548" s="9" t="str">
        <x:v>普通男女装</x:v>
      </x:c>
      <x:c r="Q548" s="9" t="str">
        <x:v>W_SKIRTS_AVGPAID_1700_1800_ANNUAL2026.xlsx</x:v>
      </x:c>
      <x:c r="R548" s="9" t="str">
        <x:v>默认</x:v>
      </x:c>
      <x:c r="S548" s="9" t="n">
        <x:v>109</x:v>
      </x:c>
      <x:c r="T548" s="9" t="str">
        <x:v>c25ed77c53c7c5cfcf728778a0e9b297d8689503f62756a939cbd534ca9b587a</x:v>
      </x:c>
      <x:c r="U548" s="9" t="str">
        <x:v>W_SKIRTS_AVGPAID_1700_1800_ANNUAL2026</x:v>
      </x:c>
      <x:c r="V548" s="9" t="str">
        <x:v>W_SKIRTS_AVGPAID_1700_1800_ANNUAL2026.xlsx / 默认 / 第109行 / SHA256 c25ed77c53c7c5cfcf728778a0e9b297d8689503f62756a939cbd534ca9b587a</x:v>
      </x:c>
    </x:row>
    <x:row r="549" ht="58" customHeight="1">
      <x:c r="A549" s="23" t="str">
        <x:v>799362528687</x:v>
      </x:c>
      <x:c r="B549" s="22"/>
      <x:c r="C549" s="22"/>
      <x:c r="D549" s="22"/>
      <x:c r="E549" s="9" t="str">
        <x:v>裙长未明确</x:v>
      </x:c>
      <x:c r="F549" s="9" t="str">
        <x:v>裙装</x:v>
      </x:c>
      <x:c r="G549" s="9" t="str">
        <x:v>半身裙</x:v>
      </x:c>
      <x:c r="H549" s="9" t="str">
        <x:v>女</x:v>
      </x:c>
      <x:c r="I549" s="9" t="str">
        <x:v>【垂顺羊毛】LANCY/朗姿2024秋冬A字高腰垂感伞裙法式高级半身裙</x:v>
      </x:c>
      <x:c r="J549" s="9" t="str">
        <x:v>LANCY</x:v>
      </x:c>
      <x:c r="K549" s="24" t="n">
        <x:v>1510.08</x:v>
      </x:c>
      <x:c r="L549" s="25" t="e">
        <x:f>HYPERLINK("https://item.taobao.com/item.htm?id=799362528687","打开商品")</x:f>
        <x:v>HYPERLINK is not implemented. linkLocation=https://item.taobao.com/item.htm?id=799362528687, friendlyName=打开商品</x:v>
      </x:c>
      <x:c r="M549" s="25" t="e">
        <x:f>HYPERLINK("https://data.zhiyitech.cn/itemDetail/overview/base?itemId=799362528687","打开知衣")</x:f>
        <x:v>HYPERLINK is not implemented. linkLocation=https://data.zhiyitech.cn/itemDetail/overview/base?itemId=799362528687, friendlyName=打开知衣</x:v>
      </x:c>
      <x:c r="N549" s="25" t="e">
        <x:f>HYPERLINK("https://img.alicdn.com/bao/uploaded/i3/2211444285261/O1CN01MzXB1h1ojaiGpPIjv_!!4611686018427387725-0-item_pic.jpg","查看主图")</x:f>
        <x:v>HYPERLINK is not implemented. linkLocation=https://img.alicdn.com/bao/uploaded/i3/2211444285261/O1CN01MzXB1h1ojaiGpPIjv_!!4611686018427387725-0-item_pic.jpg, friendlyName=查看主图</x:v>
      </x:c>
      <x:c r="O549" s="9" t="str">
        <x:v>标题及既有类目语义复核；【垂顺羊毛】LANCY/朗姿2024秋冬A字高腰垂感伞裙法式高级半身裙；原类目及标题已能确认半身裙；展示使用已知大类，未知裙长下沉到结构字段，不强猜长短。</x:v>
      </x:c>
      <x:c r="P549" s="9" t="str">
        <x:v>普通男女装</x:v>
      </x:c>
      <x:c r="Q549" s="9" t="str">
        <x:v>W_SKIRTS_AVGPAID_1500_1600_ANNUAL2026.xlsx</x:v>
      </x:c>
      <x:c r="R549" s="9" t="str">
        <x:v>默认</x:v>
      </x:c>
      <x:c r="S549" s="9" t="n">
        <x:v>179</x:v>
      </x:c>
      <x:c r="T549" s="9" t="str">
        <x:v>deede8b56943df4f914be45dba170f12e69064023d6ef0e88dbde1764f6ba23e</x:v>
      </x:c>
      <x:c r="U549" s="9" t="str">
        <x:v>W_SKIRTS_AVGPAID_1500_1600_ANNUAL2026</x:v>
      </x:c>
      <x:c r="V549" s="9" t="str">
        <x:v>W_SKIRTS_AVGPAID_1500_1600_ANNUAL2026.xlsx / 默认 / 第179行 / SHA256 deede8b56943df4f914be45dba170f12e69064023d6ef0e88dbde1764f6ba23e</x:v>
      </x:c>
    </x:row>
    <x:row r="550" ht="58" customHeight="1">
      <x:c r="A550" s="23" t="str">
        <x:v>814661012653</x:v>
      </x:c>
      <x:c r="B550" s="22"/>
      <x:c r="C550" s="22"/>
      <x:c r="D550" s="22"/>
      <x:c r="E550" s="9" t="str">
        <x:v>裙长未明确</x:v>
      </x:c>
      <x:c r="F550" s="9" t="str">
        <x:v>裙装</x:v>
      </x:c>
      <x:c r="G550" s="9" t="str">
        <x:v>半身裙</x:v>
      </x:c>
      <x:c r="H550" s="9" t="str">
        <x:v>女</x:v>
      </x:c>
      <x:c r="I550" s="9" t="str">
        <x:v>【重工亮片｜羊毛】LANCY/朗姿2024秋季小香风直筒高端高腰半身裙</x:v>
      </x:c>
      <x:c r="J550" s="9" t="str">
        <x:v>LANCY</x:v>
      </x:c>
      <x:c r="K550" s="24" t="n">
        <x:v>1320.38</x:v>
      </x:c>
      <x:c r="L550" s="25" t="e">
        <x:f>HYPERLINK("https://item.taobao.com/item.htm?id=814661012653","打开商品")</x:f>
        <x:v>HYPERLINK is not implemented. linkLocation=https://item.taobao.com/item.htm?id=814661012653, friendlyName=打开商品</x:v>
      </x:c>
      <x:c r="M550" s="25" t="e">
        <x:f>HYPERLINK("https://data.zhiyitech.cn/itemDetail/overview/base?itemId=814661012653","打开知衣")</x:f>
        <x:v>HYPERLINK is not implemented. linkLocation=https://data.zhiyitech.cn/itemDetail/overview/base?itemId=814661012653, friendlyName=打开知衣</x:v>
      </x:c>
      <x:c r="N550" s="25" t="e">
        <x:f>HYPERLINK("https://img.alicdn.com/bao/uploaded/i2/2211444285261/O1CN012qTth61ojahiyvZ33_!!0-item_pic.jpg","查看主图")</x:f>
        <x:v>HYPERLINK is not implemented. linkLocation=https://img.alicdn.com/bao/uploaded/i2/2211444285261/O1CN012qTth61ojahiyvZ33_!!0-item_pic.jpg, friendlyName=查看主图</x:v>
      </x:c>
      <x:c r="O550" s="9" t="str">
        <x:v>标题及既有类目语义复核；【重工亮片｜羊毛】LANCY/朗姿2024秋季小香风直筒高端高腰半身裙；原类目及标题已能确认半身裙；展示使用已知大类，未知裙长下沉到结构字段，不强猜长短。</x:v>
      </x:c>
      <x:c r="P550" s="9" t="str">
        <x:v>普通男女装</x:v>
      </x:c>
      <x:c r="Q550" s="9" t="str">
        <x:v>W_SKIRTS_AVGPAID_1300_1400_ANNUAL2026.xlsx</x:v>
      </x:c>
      <x:c r="R550" s="9" t="str">
        <x:v>默认</x:v>
      </x:c>
      <x:c r="S550" s="9" t="n">
        <x:v>244</x:v>
      </x:c>
      <x:c r="T550" s="9" t="str">
        <x:v>bd4dae1e08e9eca7ddd0669235bf59107cdc418b9c2898fc16f36a7ab5748692</x:v>
      </x:c>
      <x:c r="U550" s="9" t="str">
        <x:v>W_SKIRTS_AVGPAID_1300_1400_ANNUAL2026</x:v>
      </x:c>
      <x:c r="V550" s="9" t="str">
        <x:v>W_SKIRTS_AVGPAID_1300_1400_ANNUAL2026.xlsx / 默认 / 第244行 / SHA256 bd4dae1e08e9eca7ddd0669235bf59107cdc418b9c2898fc16f36a7ab5748692</x:v>
      </x:c>
    </x:row>
    <x:row r="551" ht="58" customHeight="1">
      <x:c r="A551" s="23" t="str">
        <x:v>873595758733</x:v>
      </x:c>
      <x:c r="B551" s="22"/>
      <x:c r="C551" s="22"/>
      <x:c r="D551" s="22"/>
      <x:c r="E551" s="9" t="str">
        <x:v>裙长未明确</x:v>
      </x:c>
      <x:c r="F551" s="9" t="str">
        <x:v>裙装</x:v>
      </x:c>
      <x:c r="G551" s="9" t="str">
        <x:v>半身裙</x:v>
      </x:c>
      <x:c r="H551" s="9" t="str">
        <x:v>女</x:v>
      </x:c>
      <x:c r="I551" s="9" t="str">
        <x:v>LANCY/朗姿2025春新款高级感法式印花优雅度假风直筒高腰半身裙女</x:v>
      </x:c>
      <x:c r="J551" s="9" t="str">
        <x:v>LANCY</x:v>
      </x:c>
      <x:c r="K551" s="24" t="n">
        <x:v>1398.24</x:v>
      </x:c>
      <x:c r="L551" s="25" t="e">
        <x:f>HYPERLINK("https://item.taobao.com/item.htm?id=873595758733","打开商品")</x:f>
        <x:v>HYPERLINK is not implemented. linkLocation=https://item.taobao.com/item.htm?id=873595758733, friendlyName=打开商品</x:v>
      </x:c>
      <x:c r="M551" s="25" t="e">
        <x:f>HYPERLINK("https://data.zhiyitech.cn/itemDetail/overview/base?itemId=873595758733","打开知衣")</x:f>
        <x:v>HYPERLINK is not implemented. linkLocation=https://data.zhiyitech.cn/itemDetail/overview/base?itemId=873595758733, friendlyName=打开知衣</x:v>
      </x:c>
      <x:c r="N551" s="25" t="e">
        <x:f>HYPERLINK("https://img.alicdn.com/bao/uploaded/i3/2211444285261/O1CN01l5S65O1ojajdWQ1Ka_!!4611686018427387725-0-item_pic.jpg","查看主图")</x:f>
        <x:v>HYPERLINK is not implemented. linkLocation=https://img.alicdn.com/bao/uploaded/i3/2211444285261/O1CN01l5S65O1ojajdWQ1Ka_!!4611686018427387725-0-item_pic.jpg, friendlyName=查看主图</x:v>
      </x:c>
      <x:c r="O551" s="9" t="str">
        <x:v>标题及既有类目语义复核；LANCY/朗姿2025春新款高级感法式印花优雅度假风直筒高腰半身裙女；原类目及标题已能确认半身裙；展示使用已知大类，未知裙长下沉到结构字段，不强猜长短。</x:v>
      </x:c>
      <x:c r="P551" s="9" t="str">
        <x:v>普通男女装</x:v>
      </x:c>
      <x:c r="Q551" s="9" t="str">
        <x:v>W_SKIRTS_AVGPAID_1300_1400_ANNUAL2026.xlsx</x:v>
      </x:c>
      <x:c r="R551" s="9" t="str">
        <x:v>默认</x:v>
      </x:c>
      <x:c r="S551" s="9" t="n">
        <x:v>410</x:v>
      </x:c>
      <x:c r="T551" s="9" t="str">
        <x:v>bd4dae1e08e9eca7ddd0669235bf59107cdc418b9c2898fc16f36a7ab5748692</x:v>
      </x:c>
      <x:c r="U551" s="9" t="str">
        <x:v>W_SKIRTS_AVGPAID_1300_1400_ANNUAL2026</x:v>
      </x:c>
      <x:c r="V551" s="9" t="str">
        <x:v>W_SKIRTS_AVGPAID_1300_1400_ANNUAL2026.xlsx / 默认 / 第410行 / SHA256 bd4dae1e08e9eca7ddd0669235bf59107cdc418b9c2898fc16f36a7ab5748692</x:v>
      </x:c>
    </x:row>
    <x:row r="552" ht="58" customHeight="1">
      <x:c r="A552" s="23" t="str">
        <x:v>895125326195</x:v>
      </x:c>
      <x:c r="B552" s="22"/>
      <x:c r="C552" s="22"/>
      <x:c r="D552" s="22"/>
      <x:c r="E552" s="9" t="str">
        <x:v>裙长未明确</x:v>
      </x:c>
      <x:c r="F552" s="9" t="str">
        <x:v>裙装</x:v>
      </x:c>
      <x:c r="G552" s="9" t="str">
        <x:v>半身裙</x:v>
      </x:c>
      <x:c r="H552" s="9" t="str">
        <x:v>女</x:v>
      </x:c>
      <x:c r="I552" s="9" t="str">
        <x:v>LANCY/朗姿夏季新款高腰半裙纯色通勤气质百搭半身裙子</x:v>
      </x:c>
      <x:c r="J552" s="9" t="str">
        <x:v>LANCY</x:v>
      </x:c>
      <x:c r="K552" s="24" t="n">
        <x:v>1307.91</x:v>
      </x:c>
      <x:c r="L552" s="25" t="e">
        <x:f>HYPERLINK("https://item.taobao.com/item.htm?id=895125326195","打开商品")</x:f>
        <x:v>HYPERLINK is not implemented. linkLocation=https://item.taobao.com/item.htm?id=895125326195, friendlyName=打开商品</x:v>
      </x:c>
      <x:c r="M552" s="25" t="e">
        <x:f>HYPERLINK("https://data.zhiyitech.cn/itemDetail/overview/base?itemId=895125326195","打开知衣")</x:f>
        <x:v>HYPERLINK is not implemented. linkLocation=https://data.zhiyitech.cn/itemDetail/overview/base?itemId=895125326195, friendlyName=打开知衣</x:v>
      </x:c>
      <x:c r="N552" s="25" t="e">
        <x:f>HYPERLINK("https://img.alicdn.com/bao/uploaded/i1/2211444285261/O1CN01WoGMCf1ojakIxiUux_!!4611686018427387725-0-item_pic.jpg","查看主图")</x:f>
        <x:v>HYPERLINK is not implemented. linkLocation=https://img.alicdn.com/bao/uploaded/i1/2211444285261/O1CN01WoGMCf1ojakIxiUux_!!4611686018427387725-0-item_pic.jpg, friendlyName=查看主图</x:v>
      </x:c>
      <x:c r="O552" s="9" t="str">
        <x:v>标题及既有类目语义复核；LANCY/朗姿夏季新款高腰半裙纯色通勤气质百搭半身裙子；原类目及标题已能确认半身裙；展示使用已知大类，未知裙长下沉到结构字段，不强猜长短。</x:v>
      </x:c>
      <x:c r="P552" s="9" t="str">
        <x:v>普通男女装</x:v>
      </x:c>
      <x:c r="Q552" s="9" t="str">
        <x:v>W_SKIRTS_AVGPAID_1300_1400_ANNUAL2026.xlsx</x:v>
      </x:c>
      <x:c r="R552" s="9" t="str">
        <x:v>默认</x:v>
      </x:c>
      <x:c r="S552" s="9" t="n">
        <x:v>362</x:v>
      </x:c>
      <x:c r="T552" s="9" t="str">
        <x:v>bd4dae1e08e9eca7ddd0669235bf59107cdc418b9c2898fc16f36a7ab5748692</x:v>
      </x:c>
      <x:c r="U552" s="9" t="str">
        <x:v>W_SKIRTS_AVGPAID_1300_1400_ANNUAL2026</x:v>
      </x:c>
      <x:c r="V552" s="9" t="str">
        <x:v>W_SKIRTS_AVGPAID_1300_1400_ANNUAL2026.xlsx / 默认 / 第362行 / SHA256 bd4dae1e08e9eca7ddd0669235bf59107cdc418b9c2898fc16f36a7ab5748692</x:v>
      </x:c>
    </x:row>
    <x:row r="553" ht="58" customHeight="1">
      <x:c r="A553" s="23" t="str">
        <x:v>898040842880</x:v>
      </x:c>
      <x:c r="B553" s="22"/>
      <x:c r="C553" s="22"/>
      <x:c r="D553" s="22"/>
      <x:c r="E553" s="9" t="str">
        <x:v>裙长未明确</x:v>
      </x:c>
      <x:c r="F553" s="9" t="str">
        <x:v>裙装</x:v>
      </x:c>
      <x:c r="G553" s="9" t="str">
        <x:v>半身裙</x:v>
      </x:c>
      <x:c r="H553" s="9" t="str">
        <x:v>女</x:v>
      </x:c>
      <x:c r="I553" s="9" t="str">
        <x:v>LANCY/朗姿2025夏季新款高级感提花暗纹高腰气质A字伞裙半身裙长</x:v>
      </x:c>
      <x:c r="J553" s="9" t="str">
        <x:v>LANCY</x:v>
      </x:c>
      <x:c r="K553" s="24" t="n">
        <x:v>1309.43</x:v>
      </x:c>
      <x:c r="L553" s="25" t="e">
        <x:f>HYPERLINK("https://item.taobao.com/item.htm?id=898040842880","打开商品")</x:f>
        <x:v>HYPERLINK is not implemented. linkLocation=https://item.taobao.com/item.htm?id=898040842880, friendlyName=打开商品</x:v>
      </x:c>
      <x:c r="M553" s="25" t="e">
        <x:f>HYPERLINK("https://data.zhiyitech.cn/itemDetail/overview/base?itemId=898040842880","打开知衣")</x:f>
        <x:v>HYPERLINK is not implemented. linkLocation=https://data.zhiyitech.cn/itemDetail/overview/base?itemId=898040842880, friendlyName=打开知衣</x:v>
      </x:c>
      <x:c r="N553" s="25" t="e">
        <x:f>HYPERLINK("https://img.alicdn.com/bao/uploaded/i4/2211444285261/O1CN01WRCgTF1ojakUmu6XS_!!4611686018427387725-0-item_pic.jpg","查看主图")</x:f>
        <x:v>HYPERLINK is not implemented. linkLocation=https://img.alicdn.com/bao/uploaded/i4/2211444285261/O1CN01WRCgTF1ojakUmu6XS_!!4611686018427387725-0-item_pic.jpg, friendlyName=查看主图</x:v>
      </x:c>
      <x:c r="O553" s="9" t="str">
        <x:v>标题及既有类目语义复核；LANCY/朗姿2025夏季新款高级感提花暗纹高腰气质A字伞裙半身裙长；原类目及标题已能确认半身裙；展示使用已知大类，未知裙长下沉到结构字段，不强猜长短。</x:v>
      </x:c>
      <x:c r="P553" s="9" t="str">
        <x:v>普通男女装</x:v>
      </x:c>
      <x:c r="Q553" s="9" t="str">
        <x:v>W_SKIRTS_AVGPAID_1300_1400_ANNUAL2026.xlsx</x:v>
      </x:c>
      <x:c r="R553" s="9" t="str">
        <x:v>默认</x:v>
      </x:c>
      <x:c r="S553" s="9" t="n">
        <x:v>491</x:v>
      </x:c>
      <x:c r="T553" s="9" t="str">
        <x:v>bd4dae1e08e9eca7ddd0669235bf59107cdc418b9c2898fc16f36a7ab5748692</x:v>
      </x:c>
      <x:c r="U553" s="9" t="str">
        <x:v>W_SKIRTS_AVGPAID_1300_1400_ANNUAL2026</x:v>
      </x:c>
      <x:c r="V553" s="9" t="str">
        <x:v>W_SKIRTS_AVGPAID_1300_1400_ANNUAL2026.xlsx / 默认 / 第491行 / SHA256 bd4dae1e08e9eca7ddd0669235bf59107cdc418b9c2898fc16f36a7ab5748692</x:v>
      </x:c>
    </x:row>
    <x:row r="554" ht="58" customHeight="1">
      <x:c r="A554" s="23" t="str">
        <x:v>965636614171</x:v>
      </x:c>
      <x:c r="B554" s="22"/>
      <x:c r="C554" s="22"/>
      <x:c r="D554" s="22"/>
      <x:c r="E554" s="9" t="str">
        <x:v>裙长未明确</x:v>
      </x:c>
      <x:c r="F554" s="9" t="str">
        <x:v>裙装</x:v>
      </x:c>
      <x:c r="G554" s="9" t="str">
        <x:v>半身裙</x:v>
      </x:c>
      <x:c r="H554" s="9" t="str">
        <x:v>女</x:v>
      </x:c>
      <x:c r="I554" s="9" t="str">
        <x:v>【纯羊毛】LANCY/朗姿2025冬季新款学院风通勤压褶A字腰带半身裙</x:v>
      </x:c>
      <x:c r="J554" s="9" t="str">
        <x:v>LANCY</x:v>
      </x:c>
      <x:c r="K554" s="24" t="n">
        <x:v>1324.99</x:v>
      </x:c>
      <x:c r="L554" s="25" t="e">
        <x:f>HYPERLINK("https://item.taobao.com/item.htm?id=965636614171","打开商品")</x:f>
        <x:v>HYPERLINK is not implemented. linkLocation=https://item.taobao.com/item.htm?id=965636614171, friendlyName=打开商品</x:v>
      </x:c>
      <x:c r="M554" s="25" t="e">
        <x:f>HYPERLINK("https://data.zhiyitech.cn/itemDetail/overview/base?itemId=965636614171","打开知衣")</x:f>
        <x:v>HYPERLINK is not implemented. linkLocation=https://data.zhiyitech.cn/itemDetail/overview/base?itemId=965636614171, friendlyName=打开知衣</x:v>
      </x:c>
      <x:c r="N554" s="25" t="e">
        <x:f>HYPERLINK("https://img.alicdn.com/bao/uploaded/i3/2211444285261/O1CN014ZlyqQ1ojaoapG5T1_!!4611686018427387725-0-item_pic.jpg","查看主图")</x:f>
        <x:v>HYPERLINK is not implemented. linkLocation=https://img.alicdn.com/bao/uploaded/i3/2211444285261/O1CN014ZlyqQ1ojaoapG5T1_!!4611686018427387725-0-item_pic.jpg, friendlyName=查看主图</x:v>
      </x:c>
      <x:c r="O554" s="9" t="str">
        <x:v>标题及既有类目语义复核；【纯羊毛】LANCY/朗姿2025冬季新款学院风通勤压褶A字腰带半身裙；原类目及标题已能确认半身裙；展示使用已知大类，未知裙长下沉到结构字段，不强猜长短。</x:v>
      </x:c>
      <x:c r="P554" s="9" t="str">
        <x:v>普通男女装</x:v>
      </x:c>
      <x:c r="Q554" s="9" t="str">
        <x:v>W_SKIRTS_AVGPAID_1300_1400_ANNUAL2026.xlsx</x:v>
      </x:c>
      <x:c r="R554" s="9" t="str">
        <x:v>默认</x:v>
      </x:c>
      <x:c r="S554" s="9" t="n">
        <x:v>494</x:v>
      </x:c>
      <x:c r="T554" s="9" t="str">
        <x:v>bd4dae1e08e9eca7ddd0669235bf59107cdc418b9c2898fc16f36a7ab5748692</x:v>
      </x:c>
      <x:c r="U554" s="9" t="str">
        <x:v>W_SKIRTS_AVGPAID_1300_1400_ANNUAL2026</x:v>
      </x:c>
      <x:c r="V554" s="9" t="str">
        <x:v>W_SKIRTS_AVGPAID_1300_1400_ANNUAL2026.xlsx / 默认 / 第494行 / SHA256 bd4dae1e08e9eca7ddd0669235bf59107cdc418b9c2898fc16f36a7ab5748692</x:v>
      </x:c>
    </x:row>
    <x:row r="555" ht="58" customHeight="1">
      <x:c r="A555" s="23" t="str">
        <x:v>1048065621367</x:v>
      </x:c>
      <x:c r="B555" s="22"/>
      <x:c r="C555" s="22"/>
      <x:c r="D555" s="22"/>
      <x:c r="E555" s="9" t="str">
        <x:v>裙长未明确</x:v>
      </x:c>
      <x:c r="F555" s="9" t="str">
        <x:v>裙装</x:v>
      </x:c>
      <x:c r="G555" s="9" t="str">
        <x:v>半身裙</x:v>
      </x:c>
      <x:c r="H555" s="9" t="str">
        <x:v>女</x:v>
      </x:c>
      <x:c r="I555" s="9" t="str">
        <x:v>【王楚然同款 艺术家联名】朗姿25亚麻印花半身裙2026年夏季新款</x:v>
      </x:c>
      <x:c r="J555" s="9" t="str">
        <x:v>LANCY FROM 25/朗姿</x:v>
      </x:c>
      <x:c r="K555" s="24" t="n">
        <x:v>1323.66</x:v>
      </x:c>
      <x:c r="L555" s="25" t="e">
        <x:f>HYPERLINK("https://item.taobao.com/item.htm?id=1048065621367","打开商品")</x:f>
        <x:v>HYPERLINK is not implemented. linkLocation=https://item.taobao.com/item.htm?id=1048065621367, friendlyName=打开商品</x:v>
      </x:c>
      <x:c r="M555" s="25" t="e">
        <x:f>HYPERLINK("https://data.zhiyitech.cn/itemDetail/overview/base?itemId=1048065621367","打开知衣")</x:f>
        <x:v>HYPERLINK is not implemented. linkLocation=https://data.zhiyitech.cn/itemDetail/overview/base?itemId=1048065621367, friendlyName=打开知衣</x:v>
      </x:c>
      <x:c r="N555" s="25" t="e">
        <x:f>HYPERLINK("https://img.alicdn.com/bao/uploaded/i3/1667651824/O1CN01M343En1PLRZfLZ5Yj_!!4611686018427386096-0-item_pic.jpg","查看主图")</x:f>
        <x:v>HYPERLINK is not implemented. linkLocation=https://img.alicdn.com/bao/uploaded/i3/1667651824/O1CN01M343En1PLRZfLZ5Yj_!!4611686018427386096-0-item_pic.jpg, friendlyName=查看主图</x:v>
      </x:c>
      <x:c r="O555" s="9" t="str">
        <x:v>标题及既有类目语义复核；【王楚然同款 艺术家联名】朗姿25亚麻印花半身裙2026年夏季新款；原类目及标题已能确认半身裙；展示使用已知大类，未知裙长下沉到结构字段，不强猜长短。</x:v>
      </x:c>
      <x:c r="P555" s="9" t="str">
        <x:v>普通男女装</x:v>
      </x:c>
      <x:c r="Q555" s="9" t="str">
        <x:v>W_SKIRTS_AVGPAID_1300_1400_ANNUAL2026.xlsx</x:v>
      </x:c>
      <x:c r="R555" s="9" t="str">
        <x:v>默认</x:v>
      </x:c>
      <x:c r="S555" s="9" t="n">
        <x:v>64</x:v>
      </x:c>
      <x:c r="T555" s="9" t="str">
        <x:v>bd4dae1e08e9eca7ddd0669235bf59107cdc418b9c2898fc16f36a7ab5748692</x:v>
      </x:c>
      <x:c r="U555" s="9" t="str">
        <x:v>W_SKIRTS_AVGPAID_1300_1400_ANNUAL2026</x:v>
      </x:c>
      <x:c r="V555" s="9" t="str">
        <x:v>W_SKIRTS_AVGPAID_1300_1400_ANNUAL2026.xlsx / 默认 / 第64行 / SHA256 bd4dae1e08e9eca7ddd0669235bf59107cdc418b9c2898fc16f36a7ab5748692</x:v>
      </x:c>
    </x:row>
    <x:row r="556" ht="58" customHeight="1">
      <x:c r="A556" s="23" t="str">
        <x:v>892274885385</x:v>
      </x:c>
      <x:c r="B556" s="22"/>
      <x:c r="C556" s="22"/>
      <x:c r="D556" s="22"/>
      <x:c r="E556" s="9" t="str">
        <x:v>裙长未明确</x:v>
      </x:c>
      <x:c r="F556" s="9" t="str">
        <x:v>裙装</x:v>
      </x:c>
      <x:c r="G556" s="9" t="str">
        <x:v>半身裙</x:v>
      </x:c>
      <x:c r="H556" s="9" t="str">
        <x:v>女</x:v>
      </x:c>
      <x:c r="I556" s="9" t="str">
        <x:v>【江疏影同款】 朗姿25高智衣橱桑蚕丝气质夏季新款a字鱼尾半身裙</x:v>
      </x:c>
      <x:c r="J556" s="9" t="str">
        <x:v>LANCY FROM 25/朗姿</x:v>
      </x:c>
      <x:c r="K556" s="24" t="n">
        <x:v>1303.09</x:v>
      </x:c>
      <x:c r="L556" s="25" t="e">
        <x:f>HYPERLINK("https://item.taobao.com/item.htm?id=892274885385","打开商品")</x:f>
        <x:v>HYPERLINK is not implemented. linkLocation=https://item.taobao.com/item.htm?id=892274885385, friendlyName=打开商品</x:v>
      </x:c>
      <x:c r="M556" s="25" t="e">
        <x:f>HYPERLINK("https://data.zhiyitech.cn/itemDetail/overview/base?itemId=892274885385","打开知衣")</x:f>
        <x:v>HYPERLINK is not implemented. linkLocation=https://data.zhiyitech.cn/itemDetail/overview/base?itemId=892274885385, friendlyName=打开知衣</x:v>
      </x:c>
      <x:c r="N556" s="25" t="e">
        <x:f>HYPERLINK("https://img.alicdn.com/bao/uploaded/i4/1667651824/O1CN01ERe9PZ1PLRYVTVetv_!!4611686018427386096-0-item_pic.jpg","查看主图")</x:f>
        <x:v>HYPERLINK is not implemented. linkLocation=https://img.alicdn.com/bao/uploaded/i4/1667651824/O1CN01ERe9PZ1PLRYVTVetv_!!4611686018427386096-0-item_pic.jpg, friendlyName=查看主图</x:v>
      </x:c>
      <x:c r="O556" s="9" t="str">
        <x:v>标题及既有类目语义复核；【江疏影同款】 朗姿25高智衣橱桑蚕丝气质夏季新款a字鱼尾半身裙；原类目及标题已能确认半身裙；展示使用已知大类，未知裙长下沉到结构字段，不强猜长短。</x:v>
      </x:c>
      <x:c r="P556" s="9" t="str">
        <x:v>普通男女装</x:v>
      </x:c>
      <x:c r="Q556" s="9" t="str">
        <x:v>W_SKIRTS_AVGPAID_1300_1400_ANNUAL2026.xlsx</x:v>
      </x:c>
      <x:c r="R556" s="9" t="str">
        <x:v>默认</x:v>
      </x:c>
      <x:c r="S556" s="9" t="n">
        <x:v>13</x:v>
      </x:c>
      <x:c r="T556" s="9" t="str">
        <x:v>bd4dae1e08e9eca7ddd0669235bf59107cdc418b9c2898fc16f36a7ab5748692</x:v>
      </x:c>
      <x:c r="U556" s="9" t="str">
        <x:v>W_SKIRTS_AVGPAID_1300_1400_ANNUAL2026</x:v>
      </x:c>
      <x:c r="V556" s="9" t="str">
        <x:v>W_SKIRTS_AVGPAID_1300_1400_ANNUAL2026.xlsx / 默认 / 第13行 / SHA256 bd4dae1e08e9eca7ddd0669235bf59107cdc418b9c2898fc16f36a7ab5748692</x:v>
      </x:c>
    </x:row>
    <x:row r="557" ht="58" customHeight="1">
      <x:c r="A557" s="23" t="str">
        <x:v>1073547554075</x:v>
      </x:c>
      <x:c r="B557" s="22"/>
      <x:c r="C557" s="22"/>
      <x:c r="D557" s="22"/>
      <x:c r="E557" s="9" t="str">
        <x:v>裙长未明确</x:v>
      </x:c>
      <x:c r="F557" s="9" t="str">
        <x:v>裙装</x:v>
      </x:c>
      <x:c r="G557" s="9" t="str">
        <x:v>半身裙</x:v>
      </x:c>
      <x:c r="H557" s="9" t="str">
        <x:v>女</x:v>
      </x:c>
      <x:c r="I557" s="9" t="str">
        <x:v>【王楚然同款】朗姿25立体花朵设计感半身裙伞裙2026年冬季新款女</x:v>
      </x:c>
      <x:c r="J557" s="9" t="str">
        <x:v>LANCY FROM25/朗姿</x:v>
      </x:c>
      <x:c r="K557" s="24" t="n">
        <x:v>1516.89</x:v>
      </x:c>
      <x:c r="L557" s="25" t="e">
        <x:f>HYPERLINK("https://item.taobao.com/item.htm?id=1073547554075","打开商品")</x:f>
        <x:v>HYPERLINK is not implemented. linkLocation=https://item.taobao.com/item.htm?id=1073547554075, friendlyName=打开商品</x:v>
      </x:c>
      <x:c r="M557" s="25" t="e">
        <x:f>HYPERLINK("https://data.zhiyitech.cn/itemDetail/overview/base?itemId=1073547554075","打开知衣")</x:f>
        <x:v>HYPERLINK is not implemented. linkLocation=https://data.zhiyitech.cn/itemDetail/overview/base?itemId=1073547554075, friendlyName=打开知衣</x:v>
      </x:c>
      <x:c r="N557" s="25" t="e">
        <x:f>HYPERLINK("https://img.alicdn.com/bao/uploaded/i4/1667651824/O1CN01a7yY5Ph8TdD3thOC_!!4611686018427386096-0-item_pic.jpg","查看主图")</x:f>
        <x:v>HYPERLINK is not implemented. linkLocation=https://img.alicdn.com/bao/uploaded/i4/1667651824/O1CN01a7yY5Ph8TdD3thOC_!!4611686018427386096-0-item_pic.jpg, friendlyName=查看主图</x:v>
      </x:c>
      <x:c r="O557" s="9" t="str">
        <x:v>标题及既有类目语义复核；【王楚然同款】朗姿25立体花朵设计感半身裙伞裙2026年冬季新款女；原类目及标题已能确认半身裙；展示使用已知大类，未知裙长下沉到结构字段，不强猜长短。</x:v>
      </x:c>
      <x:c r="P557" s="9" t="str">
        <x:v>普通男女装</x:v>
      </x:c>
      <x:c r="Q557" s="9" t="str">
        <x:v>W_SKIRTS_AVGPAID_1500_1600_ANNUAL2026.xlsx</x:v>
      </x:c>
      <x:c r="R557" s="9" t="str">
        <x:v>默认</x:v>
      </x:c>
      <x:c r="S557" s="9" t="n">
        <x:v>10</x:v>
      </x:c>
      <x:c r="T557" s="9" t="str">
        <x:v>deede8b56943df4f914be45dba170f12e69064023d6ef0e88dbde1764f6ba23e</x:v>
      </x:c>
      <x:c r="U557" s="9" t="str">
        <x:v>W_SKIRTS_AVGPAID_1500_1600_ANNUAL2026</x:v>
      </x:c>
      <x:c r="V557" s="9" t="str">
        <x:v>W_SKIRTS_AVGPAID_1500_1600_ANNUAL2026.xlsx / 默认 / 第10行 / SHA256 deede8b56943df4f914be45dba170f12e69064023d6ef0e88dbde1764f6ba23e</x:v>
      </x:c>
    </x:row>
    <x:row r="558" ht="58" customHeight="1">
      <x:c r="A558" s="23" t="str">
        <x:v>1091824227874</x:v>
      </x:c>
      <x:c r="B558" s="22"/>
      <x:c r="C558" s="22"/>
      <x:c r="D558" s="22"/>
      <x:c r="E558" s="9" t="str">
        <x:v>裙长未明确</x:v>
      </x:c>
      <x:c r="F558" s="9" t="str">
        <x:v>裙装</x:v>
      </x:c>
      <x:c r="G558" s="9" t="str">
        <x:v>半身裙</x:v>
      </x:c>
      <x:c r="H558" s="9" t="str">
        <x:v>女</x:v>
      </x:c>
      <x:c r="I558" s="9" t="str">
        <x:v>【七七酱直播间】朗姿羊毛针织高腰通勤半身裙简约优雅垂坠感裙子</x:v>
      </x:c>
      <x:c r="J558" s="9" t="str">
        <x:v>LANCY FROM25/朗姿</x:v>
      </x:c>
      <x:c r="K558" s="24" t="n">
        <x:v>1364.79</x:v>
      </x:c>
      <x:c r="L558" s="25" t="e">
        <x:f>HYPERLINK("https://item.taobao.com/item.htm?id=1091824227874","打开商品")</x:f>
        <x:v>HYPERLINK is not implemented. linkLocation=https://item.taobao.com/item.htm?id=1091824227874, friendlyName=打开商品</x:v>
      </x:c>
      <x:c r="M558" s="25" t="e">
        <x:f>HYPERLINK("https://data.zhiyitech.cn/itemDetail/overview/base?itemId=1091824227874","打开知衣")</x:f>
        <x:v>HYPERLINK is not implemented. linkLocation=https://data.zhiyitech.cn/itemDetail/overview/base?itemId=1091824227874, friendlyName=打开知衣</x:v>
      </x:c>
      <x:c r="N558" s="25" t="e">
        <x:f>HYPERLINK("https://img.alicdn.com/imgextra/i1/3928204364/O1CN01Bm41rqueLsF3nP92_!!4611686018427380812-0-item_pic.jpg","查看主图")</x:f>
        <x:v>HYPERLINK is not implemented. linkLocation=https://img.alicdn.com/imgextra/i1/3928204364/O1CN01Bm41rqueLsF3nP92_!!4611686018427380812-0-item_pic.jpg, friendlyName=查看主图</x:v>
      </x:c>
      <x:c r="O558" s="9" t="str">
        <x:v>标题及既有类目语义复核；【七七酱直播间】朗姿羊毛针织高腰通勤半身裙简约优雅垂坠感裙子；原类目及标题已能确认半身裙；展示使用已知大类，未知裙长下沉到结构字段，不强猜长短。</x:v>
      </x:c>
      <x:c r="P558" s="9" t="str">
        <x:v>普通男女装</x:v>
      </x:c>
      <x:c r="Q558" s="9" t="str">
        <x:v>W_SKIRTS_AVGPAID_1300_1400_ANNUAL2026.xlsx</x:v>
      </x:c>
      <x:c r="R558" s="9" t="str">
        <x:v>默认</x:v>
      </x:c>
      <x:c r="S558" s="9" t="n">
        <x:v>176</x:v>
      </x:c>
      <x:c r="T558" s="9" t="str">
        <x:v>bd4dae1e08e9eca7ddd0669235bf59107cdc418b9c2898fc16f36a7ab5748692</x:v>
      </x:c>
      <x:c r="U558" s="9" t="str">
        <x:v>W_SKIRTS_AVGPAID_1300_1400_ANNUAL2026</x:v>
      </x:c>
      <x:c r="V558" s="9" t="str">
        <x:v>W_SKIRTS_AVGPAID_1300_1400_ANNUAL2026.xlsx / 默认 / 第176行 / SHA256 bd4dae1e08e9eca7ddd0669235bf59107cdc418b9c2898fc16f36a7ab5748692</x:v>
      </x:c>
    </x:row>
    <x:row r="559" ht="58" customHeight="1">
      <x:c r="A559" s="23" t="str">
        <x:v>1025390309025</x:v>
      </x:c>
      <x:c r="B559" s="22"/>
      <x:c r="C559" s="22"/>
      <x:c r="D559" s="22"/>
      <x:c r="E559" s="9" t="str">
        <x:v>裙长未明确</x:v>
      </x:c>
      <x:c r="F559" s="9" t="str">
        <x:v>裙装</x:v>
      </x:c>
      <x:c r="G559" s="9" t="str">
        <x:v>半身裙</x:v>
      </x:c>
      <x:c r="H559" s="9" t="str">
        <x:v>女</x:v>
      </x:c>
      <x:c r="I559" s="9" t="str">
        <x:v>【美多】韩国专柜代LANVIN正品女装2026春半身裙 LC2G3-WSC654W</x:v>
      </x:c>
      <x:c r="J559" s="9" t="str">
        <x:v>LANVIN/浪凡</x:v>
      </x:c>
      <x:c r="K559" s="24" t="n">
        <x:v>1775.48</x:v>
      </x:c>
      <x:c r="L559" s="25" t="e">
        <x:f>HYPERLINK("https://item.taobao.com/item.htm?id=1025390309025","打开商品")</x:f>
        <x:v>HYPERLINK is not implemented. linkLocation=https://item.taobao.com/item.htm?id=1025390309025, friendlyName=打开商品</x:v>
      </x:c>
      <x:c r="M559" s="25" t="e">
        <x:f>HYPERLINK("https://data.zhiyitech.cn/itemDetail/overview/base?itemId=1025390309025","打开知衣")</x:f>
        <x:v>HYPERLINK is not implemented. linkLocation=https://data.zhiyitech.cn/itemDetail/overview/base?itemId=1025390309025, friendlyName=打开知衣</x:v>
      </x:c>
      <x:c r="N559" s="25" t="e">
        <x:f>HYPERLINK("https://img.alicdn.com/bao/uploaded/i4/395101572/O1CN01nqeVmB1NU1k0QYWxL_!!4611686018427381124-0-item_pic.jpg","查看主图")</x:f>
        <x:v>HYPERLINK is not implemented. linkLocation=https://img.alicdn.com/bao/uploaded/i4/395101572/O1CN01nqeVmB1NU1k0QYWxL_!!4611686018427381124-0-item_pic.jpg, friendlyName=查看主图</x:v>
      </x:c>
      <x:c r="O559" s="9" t="str">
        <x:v>标题及既有类目语义复核；【美多】韩国专柜代LANVIN正品女装2026春半身裙 LC2G3-WSC654W；原类目及标题已能确认半身裙；展示使用已知大类，未知裙长下沉到结构字段，不强猜长短。</x:v>
      </x:c>
      <x:c r="P559" s="9" t="str">
        <x:v>普通男女装</x:v>
      </x:c>
      <x:c r="Q559" s="9" t="str">
        <x:v>W_SKIRTS_AVGPAID_1700_1800_ANNUAL2026.xlsx</x:v>
      </x:c>
      <x:c r="R559" s="9" t="str">
        <x:v>默认</x:v>
      </x:c>
      <x:c r="S559" s="9" t="n">
        <x:v>310</x:v>
      </x:c>
      <x:c r="T559" s="9" t="str">
        <x:v>c25ed77c53c7c5cfcf728778a0e9b297d8689503f62756a939cbd534ca9b587a</x:v>
      </x:c>
      <x:c r="U559" s="9" t="str">
        <x:v>W_SKIRTS_AVGPAID_1700_1800_ANNUAL2026</x:v>
      </x:c>
      <x:c r="V559" s="9" t="str">
        <x:v>W_SKIRTS_AVGPAID_1700_1800_ANNUAL2026.xlsx / 默认 / 第310行 / SHA256 c25ed77c53c7c5cfcf728778a0e9b297d8689503f62756a939cbd534ca9b587a</x:v>
      </x:c>
    </x:row>
    <x:row r="560" ht="58" customHeight="1">
      <x:c r="A560" s="23" t="str">
        <x:v>1069421608054</x:v>
      </x:c>
      <x:c r="B560" s="22"/>
      <x:c r="C560" s="22"/>
      <x:c r="D560" s="22"/>
      <x:c r="E560" s="9" t="str">
        <x:v>裙长未明确</x:v>
      </x:c>
      <x:c r="F560" s="9" t="str">
        <x:v>裙装</x:v>
      </x:c>
      <x:c r="G560" s="9" t="str">
        <x:v>半身裙</x:v>
      </x:c>
      <x:c r="H560" s="9" t="str">
        <x:v>女</x:v>
      </x:c>
      <x:c r="I560" s="9" t="str">
        <x:v>Laurel劳芮新款黑高腰侧袋后开叉修身西装半裙LWD373Q00100</x:v>
      </x:c>
      <x:c r="J560" s="9" t="str">
        <x:v>LAUREL</x:v>
      </x:c>
      <x:c r="K560" s="24" t="n">
        <x:v>1359.66</x:v>
      </x:c>
      <x:c r="L560" s="25" t="e">
        <x:f>HYPERLINK("https://item.taobao.com/item.htm?id=1069421608054","打开商品")</x:f>
        <x:v>HYPERLINK is not implemented. linkLocation=https://item.taobao.com/item.htm?id=1069421608054, friendlyName=打开商品</x:v>
      </x:c>
      <x:c r="M560" s="25" t="e">
        <x:f>HYPERLINK("https://data.zhiyitech.cn/itemDetail/overview/base?itemId=1069421608054","打开知衣")</x:f>
        <x:v>HYPERLINK is not implemented. linkLocation=https://data.zhiyitech.cn/itemDetail/overview/base?itemId=1069421608054, friendlyName=打开知衣</x:v>
      </x:c>
      <x:c r="N560" s="25" t="e">
        <x:f>HYPERLINK("https://img.alicdn.com/bao/uploaded/i2/2200780629087/O1CN01Zi8mPfjVN5G1chua-2200780629087.jpg","查看主图")</x:f>
        <x:v>HYPERLINK is not implemented. linkLocation=https://img.alicdn.com/bao/uploaded/i2/2200780629087/O1CN01Zi8mPfjVN5G1chua-2200780629087.jpg, friendlyName=查看主图</x:v>
      </x:c>
      <x:c r="O560" s="9" t="str">
        <x:v>标题及既有类目语义复核；Laurel劳芮新款黑高腰侧袋后开叉修身西装半裙LWD373Q00100；原类目及标题已能确认半身裙；展示使用已知大类，未知裙长下沉到结构字段，不强猜长短。</x:v>
      </x:c>
      <x:c r="P560" s="9" t="str">
        <x:v>普通男女装</x:v>
      </x:c>
      <x:c r="Q560" s="9" t="str">
        <x:v>W_SKIRTS_AVGPAID_1300_1400_ANNUAL2026.xlsx</x:v>
      </x:c>
      <x:c r="R560" s="9" t="str">
        <x:v>默认</x:v>
      </x:c>
      <x:c r="S560" s="9" t="n">
        <x:v>272</x:v>
      </x:c>
      <x:c r="T560" s="9" t="str">
        <x:v>bd4dae1e08e9eca7ddd0669235bf59107cdc418b9c2898fc16f36a7ab5748692</x:v>
      </x:c>
      <x:c r="U560" s="9" t="str">
        <x:v>W_SKIRTS_AVGPAID_1300_1400_ANNUAL2026</x:v>
      </x:c>
      <x:c r="V560" s="9" t="str">
        <x:v>W_SKIRTS_AVGPAID_1300_1400_ANNUAL2026.xlsx / 默认 / 第272行 / SHA256 bd4dae1e08e9eca7ddd0669235bf59107cdc418b9c2898fc16f36a7ab5748692</x:v>
      </x:c>
    </x:row>
    <x:row r="561" ht="58" customHeight="1">
      <x:c r="A561" s="23" t="str">
        <x:v>1076200025883</x:v>
      </x:c>
      <x:c r="B561" s="22"/>
      <x:c r="C561" s="22"/>
      <x:c r="D561" s="22"/>
      <x:c r="E561" s="9" t="str">
        <x:v>裙长未明确</x:v>
      </x:c>
      <x:c r="F561" s="9" t="str">
        <x:v>裙装</x:v>
      </x:c>
      <x:c r="G561" s="9" t="str">
        <x:v>半身裙</x:v>
      </x:c>
      <x:c r="H561" s="9" t="str">
        <x:v>女</x:v>
      </x:c>
      <x:c r="I561" s="9" t="str">
        <x:v>【绵羊毛】Laurel劳芮26早秋新款焦糖咖静奢风半身裙LWD373Q00300</x:v>
      </x:c>
      <x:c r="J561" s="9" t="str">
        <x:v>LAUREL</x:v>
      </x:c>
      <x:c r="K561" s="24" t="n">
        <x:v>1715.21</x:v>
      </x:c>
      <x:c r="L561" s="25" t="e">
        <x:f>HYPERLINK("https://item.taobao.com/item.htm?id=1076200025883","打开商品")</x:f>
        <x:v>HYPERLINK is not implemented. linkLocation=https://item.taobao.com/item.htm?id=1076200025883, friendlyName=打开商品</x:v>
      </x:c>
      <x:c r="M561" s="25" t="e">
        <x:f>HYPERLINK("https://data.zhiyitech.cn/itemDetail/overview/base?itemId=1076200025883","打开知衣")</x:f>
        <x:v>HYPERLINK is not implemented. linkLocation=https://data.zhiyitech.cn/itemDetail/overview/base?itemId=1076200025883, friendlyName=打开知衣</x:v>
      </x:c>
      <x:c r="N561" s="25" t="e">
        <x:f>HYPERLINK("https://img.alicdn.com/bao/uploaded/i4/2200780629087/O1CN01KgQRsILzfDG1chua-2200780629087.jpg","查看主图")</x:f>
        <x:v>HYPERLINK is not implemented. linkLocation=https://img.alicdn.com/bao/uploaded/i4/2200780629087/O1CN01KgQRsILzfDG1chua-2200780629087.jpg, friendlyName=查看主图</x:v>
      </x:c>
      <x:c r="O561" s="9" t="str">
        <x:v>标题及既有类目语义复核；【绵羊毛】Laurel劳芮26早秋新款焦糖咖静奢风半身裙LWD373Q00300；原类目及标题已能确认半身裙；展示使用已知大类，未知裙长下沉到结构字段，不强猜长短。</x:v>
      </x:c>
      <x:c r="P561" s="9" t="str">
        <x:v>普通男女装</x:v>
      </x:c>
      <x:c r="Q561" s="9" t="str">
        <x:v>W_SKIRTS_AVGPAID_1700_1800_ANNUAL2026.xlsx</x:v>
      </x:c>
      <x:c r="R561" s="9" t="str">
        <x:v>默认</x:v>
      </x:c>
      <x:c r="S561" s="9" t="n">
        <x:v>231</x:v>
      </x:c>
      <x:c r="T561" s="9" t="str">
        <x:v>c25ed77c53c7c5cfcf728778a0e9b297d8689503f62756a939cbd534ca9b587a</x:v>
      </x:c>
      <x:c r="U561" s="9" t="str">
        <x:v>W_SKIRTS_AVGPAID_1700_1800_ANNUAL2026</x:v>
      </x:c>
      <x:c r="V561" s="9" t="str">
        <x:v>W_SKIRTS_AVGPAID_1700_1800_ANNUAL2026.xlsx / 默认 / 第231行 / SHA256 c25ed77c53c7c5cfcf728778a0e9b297d8689503f62756a939cbd534ca9b587a</x:v>
      </x:c>
    </x:row>
    <x:row r="562" ht="58" customHeight="1">
      <x:c r="A562" s="23" t="str">
        <x:v>756559840488</x:v>
      </x:c>
      <x:c r="B562" s="22"/>
      <x:c r="C562" s="22"/>
      <x:c r="D562" s="22"/>
      <x:c r="E562" s="9" t="str">
        <x:v>裙长未明确</x:v>
      </x:c>
      <x:c r="F562" s="9" t="str">
        <x:v>裙装</x:v>
      </x:c>
      <x:c r="G562" s="9" t="str">
        <x:v>半身裙</x:v>
      </x:c>
      <x:c r="H562" s="9" t="str">
        <x:v>女</x:v>
      </x:c>
      <x:c r="I562" s="9" t="str">
        <x:v>【进口醋酸】Laurel劳芮缎感无腰头半裙女LWL351Q04200</x:v>
      </x:c>
      <x:c r="J562" s="9" t="str">
        <x:v>LAUREL</x:v>
      </x:c>
      <x:c r="K562" s="24" t="n">
        <x:v>1559.24</x:v>
      </x:c>
      <x:c r="L562" s="25" t="e">
        <x:f>HYPERLINK("https://item.taobao.com/item.htm?id=756559840488","打开商品")</x:f>
        <x:v>HYPERLINK is not implemented. linkLocation=https://item.taobao.com/item.htm?id=756559840488, friendlyName=打开商品</x:v>
      </x:c>
      <x:c r="M562" s="25" t="e">
        <x:f>HYPERLINK("https://data.zhiyitech.cn/itemDetail/overview/base?itemId=756559840488","打开知衣")</x:f>
        <x:v>HYPERLINK is not implemented. linkLocation=https://data.zhiyitech.cn/itemDetail/overview/base?itemId=756559840488, friendlyName=打开知衣</x:v>
      </x:c>
      <x:c r="N562" s="25" t="e">
        <x:f>HYPERLINK("https://img.alicdn.com/bao/uploaded/i4/2200780629087/O1CN016ez3EbvQbfG1chua-2200780629087.jpg","查看主图")</x:f>
        <x:v>HYPERLINK is not implemented. linkLocation=https://img.alicdn.com/bao/uploaded/i4/2200780629087/O1CN016ez3EbvQbfG1chua-2200780629087.jpg, friendlyName=查看主图</x:v>
      </x:c>
      <x:c r="O562" s="9" t="str">
        <x:v>标题及既有类目语义复核；【进口醋酸】Laurel劳芮缎感无腰头半裙女LWL351Q04200；原类目及标题已能确认半身裙；展示使用已知大类，未知裙长下沉到结构字段，不强猜长短。</x:v>
      </x:c>
      <x:c r="P562" s="9" t="str">
        <x:v>普通男女装</x:v>
      </x:c>
      <x:c r="Q562" s="9" t="str">
        <x:v>W_SKIRTS_AVGPAID_1500_1600_ANNUAL2026.xlsx</x:v>
      </x:c>
      <x:c r="R562" s="9" t="str">
        <x:v>默认</x:v>
      </x:c>
      <x:c r="S562" s="9" t="n">
        <x:v>230</x:v>
      </x:c>
      <x:c r="T562" s="9" t="str">
        <x:v>deede8b56943df4f914be45dba170f12e69064023d6ef0e88dbde1764f6ba23e</x:v>
      </x:c>
      <x:c r="U562" s="9" t="str">
        <x:v>W_SKIRTS_AVGPAID_1500_1600_ANNUAL2026</x:v>
      </x:c>
      <x:c r="V562" s="9" t="str">
        <x:v>W_SKIRTS_AVGPAID_1500_1600_ANNUAL2026.xlsx / 默认 / 第230行 / SHA256 deede8b56943df4f914be45dba170f12e69064023d6ef0e88dbde1764f6ba23e</x:v>
      </x:c>
    </x:row>
    <x:row r="563" ht="58" customHeight="1">
      <x:c r="A563" s="23" t="str">
        <x:v>756773835074</x:v>
      </x:c>
      <x:c r="B563" s="22"/>
      <x:c r="C563" s="22"/>
      <x:c r="D563" s="22"/>
      <x:c r="E563" s="9" t="str">
        <x:v>裙长未明确</x:v>
      </x:c>
      <x:c r="F563" s="9" t="str">
        <x:v>裙装</x:v>
      </x:c>
      <x:c r="G563" s="9" t="str">
        <x:v>半身裙</x:v>
      </x:c>
      <x:c r="H563" s="9" t="str">
        <x:v>女</x:v>
      </x:c>
      <x:c r="I563" s="9" t="str">
        <x:v>LAUREL醋酸棉直身牛仔半裙</x:v>
      </x:c>
      <x:c r="J563" s="9" t="str">
        <x:v>LAUREL</x:v>
      </x:c>
      <x:c r="K563" s="24" t="n">
        <x:v>1393.63</x:v>
      </x:c>
      <x:c r="L563" s="25" t="e">
        <x:f>HYPERLINK("https://item.taobao.com/item.htm?id=756773835074","打开商品")</x:f>
        <x:v>HYPERLINK is not implemented. linkLocation=https://item.taobao.com/item.htm?id=756773835074, friendlyName=打开商品</x:v>
      </x:c>
      <x:c r="M563" s="25" t="e">
        <x:f>HYPERLINK("https://data.zhiyitech.cn/itemDetail/overview/base?itemId=756773835074","打开知衣")</x:f>
        <x:v>HYPERLINK is not implemented. linkLocation=https://data.zhiyitech.cn/itemDetail/overview/base?itemId=756773835074, friendlyName=打开知衣</x:v>
      </x:c>
      <x:c r="N563" s="25" t="e">
        <x:f>HYPERLINK("https://img.alicdn.com/bao/uploaded/i1/2200780629087/O1CN01zY8Fs185N7K1chua_!!4611686018427380831-0-item_pic.jpg","查看主图")</x:f>
        <x:v>HYPERLINK is not implemented. linkLocation=https://img.alicdn.com/bao/uploaded/i1/2200780629087/O1CN01zY8Fs185N7K1chua_!!4611686018427380831-0-item_pic.jpg, friendlyName=查看主图</x:v>
      </x:c>
      <x:c r="O563" s="9" t="str">
        <x:v>标题及既有类目语义复核；LAUREL醋酸棉直身牛仔半裙；原类目及标题已能确认半身裙；展示使用已知大类，未知裙长下沉到结构字段，不强猜长短。</x:v>
      </x:c>
      <x:c r="P563" s="9" t="str">
        <x:v>普通男女装</x:v>
      </x:c>
      <x:c r="Q563" s="9" t="str">
        <x:v>W_SKIRTS_AVGPAID_1300_1400_ANNUAL2026.xlsx</x:v>
      </x:c>
      <x:c r="R563" s="9" t="str">
        <x:v>默认</x:v>
      </x:c>
      <x:c r="S563" s="9" t="n">
        <x:v>252</x:v>
      </x:c>
      <x:c r="T563" s="9" t="str">
        <x:v>bd4dae1e08e9eca7ddd0669235bf59107cdc418b9c2898fc16f36a7ab5748692</x:v>
      </x:c>
      <x:c r="U563" s="9" t="str">
        <x:v>W_SKIRTS_AVGPAID_1300_1400_ANNUAL2026</x:v>
      </x:c>
      <x:c r="V563" s="9" t="str">
        <x:v>W_SKIRTS_AVGPAID_1300_1400_ANNUAL2026.xlsx / 默认 / 第252行 / SHA256 bd4dae1e08e9eca7ddd0669235bf59107cdc418b9c2898fc16f36a7ab5748692</x:v>
      </x:c>
    </x:row>
    <x:row r="564" ht="58" customHeight="1">
      <x:c r="A564" s="23" t="str">
        <x:v>822646840329</x:v>
      </x:c>
      <x:c r="B564" s="22"/>
      <x:c r="C564" s="22"/>
      <x:c r="D564" s="22"/>
      <x:c r="E564" s="9" t="str">
        <x:v>裙长未明确</x:v>
      </x:c>
      <x:c r="F564" s="9" t="str">
        <x:v>裙装</x:v>
      </x:c>
      <x:c r="G564" s="9" t="str">
        <x:v>半身裙</x:v>
      </x:c>
      <x:c r="H564" s="9" t="str">
        <x:v>女</x:v>
      </x:c>
      <x:c r="I564" s="9" t="str">
        <x:v>【绵羊毛】Laurel劳芮新款直筒长半裙女LWL353Q00100</x:v>
      </x:c>
      <x:c r="J564" s="9" t="str">
        <x:v>LAUREL</x:v>
      </x:c>
      <x:c r="K564" s="24" t="n">
        <x:v>1588.91</x:v>
      </x:c>
      <x:c r="L564" s="25" t="e">
        <x:f>HYPERLINK("https://item.taobao.com/item.htm?id=822646840329","打开商品")</x:f>
        <x:v>HYPERLINK is not implemented. linkLocation=https://item.taobao.com/item.htm?id=822646840329, friendlyName=打开商品</x:v>
      </x:c>
      <x:c r="M564" s="25" t="e">
        <x:f>HYPERLINK("https://data.zhiyitech.cn/itemDetail/overview/base?itemId=822646840329","打开知衣")</x:f>
        <x:v>HYPERLINK is not implemented. linkLocation=https://data.zhiyitech.cn/itemDetail/overview/base?itemId=822646840329, friendlyName=打开知衣</x:v>
      </x:c>
      <x:c r="N564" s="25" t="e">
        <x:f>HYPERLINK("https://img.alicdn.com/bao/uploaded/i3/2200780629087/O1CN01xsJwI82GzuC3QzcpW-2200780629087.jpg","查看主图")</x:f>
        <x:v>HYPERLINK is not implemented. linkLocation=https://img.alicdn.com/bao/uploaded/i3/2200780629087/O1CN01xsJwI82GzuC3QzcpW-2200780629087.jpg, friendlyName=查看主图</x:v>
      </x:c>
      <x:c r="O564" s="9" t="str">
        <x:v>标题及既有类目语义复核；【绵羊毛】Laurel劳芮新款直筒长半裙女LWL353Q00100；原类目及标题已能确认半身裙；展示使用已知大类，未知裙长下沉到结构字段，不强猜长短。</x:v>
      </x:c>
      <x:c r="P564" s="9" t="str">
        <x:v>普通男女装</x:v>
      </x:c>
      <x:c r="Q564" s="9" t="str">
        <x:v>W_SKIRTS_AVGPAID_1500_1600_ANNUAL2026.xlsx</x:v>
      </x:c>
      <x:c r="R564" s="9" t="str">
        <x:v>默认</x:v>
      </x:c>
      <x:c r="S564" s="9" t="n">
        <x:v>299</x:v>
      </x:c>
      <x:c r="T564" s="9" t="str">
        <x:v>deede8b56943df4f914be45dba170f12e69064023d6ef0e88dbde1764f6ba23e</x:v>
      </x:c>
      <x:c r="U564" s="9" t="str">
        <x:v>W_SKIRTS_AVGPAID_1500_1600_ANNUAL2026</x:v>
      </x:c>
      <x:c r="V564" s="9" t="str">
        <x:v>W_SKIRTS_AVGPAID_1500_1600_ANNUAL2026.xlsx / 默认 / 第299行 / SHA256 deede8b56943df4f914be45dba170f12e69064023d6ef0e88dbde1764f6ba23e</x:v>
      </x:c>
    </x:row>
    <x:row r="565" ht="58" customHeight="1">
      <x:c r="A565" s="23" t="str">
        <x:v>967019398378</x:v>
      </x:c>
      <x:c r="B565" s="22"/>
      <x:c r="C565" s="22"/>
      <x:c r="D565" s="22"/>
      <x:c r="E565" s="9" t="str">
        <x:v>裙长未明确</x:v>
      </x:c>
      <x:c r="F565" s="9" t="str">
        <x:v>裙装</x:v>
      </x:c>
      <x:c r="G565" s="9" t="str">
        <x:v>半身裙</x:v>
      </x:c>
      <x:c r="H565" s="9" t="str">
        <x:v>女</x:v>
      </x:c>
      <x:c r="I565" s="9" t="str">
        <x:v>【可机洗双弹凡立丁】Laurel劳芮新款A摆半身裙LWL363Q00200</x:v>
      </x:c>
      <x:c r="J565" s="9" t="str">
        <x:v>LAUREL</x:v>
      </x:c>
      <x:c r="K565" s="24" t="n">
        <x:v>1787.42</x:v>
      </x:c>
      <x:c r="L565" s="25" t="e">
        <x:f>HYPERLINK("https://item.taobao.com/item.htm?id=967019398378","打开商品")</x:f>
        <x:v>HYPERLINK is not implemented. linkLocation=https://item.taobao.com/item.htm?id=967019398378, friendlyName=打开商品</x:v>
      </x:c>
      <x:c r="M565" s="25" t="e">
        <x:f>HYPERLINK("https://data.zhiyitech.cn/itemDetail/overview/base?itemId=967019398378","打开知衣")</x:f>
        <x:v>HYPERLINK is not implemented. linkLocation=https://data.zhiyitech.cn/itemDetail/overview/base?itemId=967019398378, friendlyName=打开知衣</x:v>
      </x:c>
      <x:c r="N565" s="25" t="e">
        <x:f>HYPERLINK("https://img.alicdn.com/bao/uploaded/i4/2200780629087/O1CN01TiXemtJ6NPE1chua-2200780629087.jpg","查看主图")</x:f>
        <x:v>HYPERLINK is not implemented. linkLocation=https://img.alicdn.com/bao/uploaded/i4/2200780629087/O1CN01TiXemtJ6NPE1chua-2200780629087.jpg, friendlyName=查看主图</x:v>
      </x:c>
      <x:c r="O565" s="9" t="str">
        <x:v>标题及既有类目语义复核；【可机洗双弹凡立丁】Laurel劳芮新款A摆半身裙LWL363Q00200；原类目及标题已能确认半身裙；展示使用已知大类，未知裙长下沉到结构字段，不强猜长短。</x:v>
      </x:c>
      <x:c r="P565" s="9" t="str">
        <x:v>普通男女装</x:v>
      </x:c>
      <x:c r="Q565" s="9" t="str">
        <x:v>W_SKIRTS_AVGPAID_1700_1800_ANNUAL2026.xlsx</x:v>
      </x:c>
      <x:c r="R565" s="9" t="str">
        <x:v>默认</x:v>
      </x:c>
      <x:c r="S565" s="9" t="n">
        <x:v>404</x:v>
      </x:c>
      <x:c r="T565" s="9" t="str">
        <x:v>c25ed77c53c7c5cfcf728778a0e9b297d8689503f62756a939cbd534ca9b587a</x:v>
      </x:c>
      <x:c r="U565" s="9" t="str">
        <x:v>W_SKIRTS_AVGPAID_1700_1800_ANNUAL2026</x:v>
      </x:c>
      <x:c r="V565" s="9" t="str">
        <x:v>W_SKIRTS_AVGPAID_1700_1800_ANNUAL2026.xlsx / 默认 / 第404行 / SHA256 c25ed77c53c7c5cfcf728778a0e9b297d8689503f62756a939cbd534ca9b587a</x:v>
      </x:c>
    </x:row>
    <x:row r="566" ht="58" customHeight="1">
      <x:c r="A566" s="23" t="str">
        <x:v>1013936877837</x:v>
      </x:c>
      <x:c r="B566" s="22"/>
      <x:c r="C566" s="22"/>
      <x:c r="D566" s="22"/>
      <x:c r="E566" s="9" t="str">
        <x:v>裙长未明确</x:v>
      </x:c>
      <x:c r="F566" s="9" t="str">
        <x:v>裙装</x:v>
      </x:c>
      <x:c r="G566" s="9" t="str">
        <x:v>半身裙</x:v>
      </x:c>
      <x:c r="H566" s="9" t="str">
        <x:v>女</x:v>
      </x:c>
      <x:c r="I566" s="9" t="str">
        <x:v>Lauren/拉夫劳伦女装 26年早春牛仔布迷笛半身裙RL62936</x:v>
      </x:c>
      <x:c r="J566" s="9" t="str">
        <x:v>LAUREN RALPH LAUREN（女装）</x:v>
      </x:c>
      <x:c r="K566" s="24" t="n">
        <x:v>1750.5</x:v>
      </x:c>
      <x:c r="L566" s="25" t="e">
        <x:f>HYPERLINK("https://item.taobao.com/item.htm?id=1013936877837","打开商品")</x:f>
        <x:v>HYPERLINK is not implemented. linkLocation=https://item.taobao.com/item.htm?id=1013936877837, friendlyName=打开商品</x:v>
      </x:c>
      <x:c r="M566" s="25" t="e">
        <x:f>HYPERLINK("https://data.zhiyitech.cn/itemDetail/overview/base?itemId=1013936877837","打开知衣")</x:f>
        <x:v>HYPERLINK is not implemented. linkLocation=https://data.zhiyitech.cn/itemDetail/overview/base?itemId=1013936877837, friendlyName=打开知衣</x:v>
      </x:c>
      <x:c r="N566" s="25" t="e">
        <x:f>HYPERLINK("https://img.alicdn.com/bao/uploaded/i2/3315538487/O1CN0160zO1h2CZ6WnlEVeF_!!4611686018427386423-0-item_pic.jpg","查看主图")</x:f>
        <x:v>HYPERLINK is not implemented. linkLocation=https://img.alicdn.com/bao/uploaded/i2/3315538487/O1CN0160zO1h2CZ6WnlEVeF_!!4611686018427386423-0-item_pic.jpg, friendlyName=查看主图</x:v>
      </x:c>
      <x:c r="O566" s="9" t="str">
        <x:v>标题及既有类目语义复核；Lauren/拉夫劳伦女装 26年早春牛仔布迷笛半身裙RL62936；原类目及标题已能确认半身裙；展示使用已知大类，未知裙长下沉到结构字段，不强猜长短。</x:v>
      </x:c>
      <x:c r="P566" s="9" t="str">
        <x:v>普通男女装</x:v>
      </x:c>
      <x:c r="Q566" s="9" t="str">
        <x:v>W_SKIRTS_AVGPAID_1700_1800_ANNUAL2026.xlsx</x:v>
      </x:c>
      <x:c r="R566" s="9" t="str">
        <x:v>默认</x:v>
      </x:c>
      <x:c r="S566" s="9" t="n">
        <x:v>215</x:v>
      </x:c>
      <x:c r="T566" s="9" t="str">
        <x:v>c25ed77c53c7c5cfcf728778a0e9b297d8689503f62756a939cbd534ca9b587a</x:v>
      </x:c>
      <x:c r="U566" s="9" t="str">
        <x:v>W_SKIRTS_AVGPAID_1700_1800_ANNUAL2026</x:v>
      </x:c>
      <x:c r="V566" s="9" t="str">
        <x:v>W_SKIRTS_AVGPAID_1700_1800_ANNUAL2026.xlsx / 默认 / 第215行 / SHA256 c25ed77c53c7c5cfcf728778a0e9b297d8689503f62756a939cbd534ca9b587a</x:v>
      </x:c>
    </x:row>
    <x:row r="567" ht="58" customHeight="1">
      <x:c r="A567" s="23" t="str">
        <x:v>1036147501830</x:v>
      </x:c>
      <x:c r="B567" s="22"/>
      <x:c r="C567" s="22"/>
      <x:c r="D567" s="22"/>
      <x:c r="E567" s="9" t="str">
        <x:v>裙长未明确</x:v>
      </x:c>
      <x:c r="F567" s="9" t="str">
        <x:v>裙装</x:v>
      </x:c>
      <x:c r="G567" s="9" t="str">
        <x:v>半身裙</x:v>
      </x:c>
      <x:c r="H567" s="9" t="str">
        <x:v>女</x:v>
      </x:c>
      <x:c r="I567" s="9" t="str">
        <x:v>双排扣斜纹棉布裹身式半身裙</x:v>
      </x:c>
      <x:c r="J567" s="9" t="str">
        <x:v>LAUREN RALPH LAUREN（女装）</x:v>
      </x:c>
      <x:c r="K567" s="24" t="n">
        <x:v>1304.51</x:v>
      </x:c>
      <x:c r="L567" s="25" t="e">
        <x:f>HYPERLINK("https://item.taobao.com/item.htm?id=1036147501830","打开商品")</x:f>
        <x:v>HYPERLINK is not implemented. linkLocation=https://item.taobao.com/item.htm?id=1036147501830, friendlyName=打开商品</x:v>
      </x:c>
      <x:c r="M567" s="25" t="e">
        <x:f>HYPERLINK("https://data.zhiyitech.cn/itemDetail/overview/base?itemId=1036147501830","打开知衣")</x:f>
        <x:v>HYPERLINK is not implemented. linkLocation=https://data.zhiyitech.cn/itemDetail/overview/base?itemId=1036147501830, friendlyName=打开知衣</x:v>
      </x:c>
      <x:c r="N567" s="25" t="e">
        <x:f>HYPERLINK("https://img.alicdn.com/bao/uploaded/i1/3315538487/O1CN01mNK6Kn2CZ6Z9iAYWH_!!3315538487.jpg","查看主图")</x:f>
        <x:v>HYPERLINK is not implemented. linkLocation=https://img.alicdn.com/bao/uploaded/i1/3315538487/O1CN01mNK6Kn2CZ6Z9iAYWH_!!3315538487.jpg, friendlyName=查看主图</x:v>
      </x:c>
      <x:c r="O567" s="9" t="str">
        <x:v>标题及既有类目语义复核；双排扣斜纹棉布裹身式半身裙；原类目及标题已能确认半身裙；展示使用已知大类，未知裙长下沉到结构字段，不强猜长短。</x:v>
      </x:c>
      <x:c r="P567" s="9" t="str">
        <x:v>普通男女装</x:v>
      </x:c>
      <x:c r="Q567" s="9" t="str">
        <x:v>W_SKIRTS_AVGPAID_1300_1400_ANNUAL2026.xlsx</x:v>
      </x:c>
      <x:c r="R567" s="9" t="str">
        <x:v>默认</x:v>
      </x:c>
      <x:c r="S567" s="9" t="n">
        <x:v>90</x:v>
      </x:c>
      <x:c r="T567" s="9" t="str">
        <x:v>bd4dae1e08e9eca7ddd0669235bf59107cdc418b9c2898fc16f36a7ab5748692</x:v>
      </x:c>
      <x:c r="U567" s="9" t="str">
        <x:v>W_SKIRTS_AVGPAID_1300_1400_ANNUAL2026</x:v>
      </x:c>
      <x:c r="V567" s="9" t="str">
        <x:v>W_SKIRTS_AVGPAID_1300_1400_ANNUAL2026.xlsx / 默认 / 第90行 / SHA256 bd4dae1e08e9eca7ddd0669235bf59107cdc418b9c2898fc16f36a7ab5748692</x:v>
      </x:c>
    </x:row>
    <x:row r="568" ht="58" customHeight="1">
      <x:c r="A568" s="23" t="str">
        <x:v>1037625034673</x:v>
      </x:c>
      <x:c r="B568" s="22"/>
      <x:c r="C568" s="22"/>
      <x:c r="D568" s="22"/>
      <x:c r="E568" s="9" t="str">
        <x:v>裙长未明确</x:v>
      </x:c>
      <x:c r="F568" s="9" t="str">
        <x:v>裙装</x:v>
      </x:c>
      <x:c r="G568" s="9" t="str">
        <x:v>半身裙</x:v>
      </x:c>
      <x:c r="H568" s="9" t="str">
        <x:v>女</x:v>
      </x:c>
      <x:c r="I568" s="9" t="str">
        <x:v>佩斯利图案绉纱迷笛半身裙</x:v>
      </x:c>
      <x:c r="J568" s="9" t="str">
        <x:v>LAUREN RALPH LAUREN（女装）</x:v>
      </x:c>
      <x:c r="K568" s="24" t="n">
        <x:v>1709.41</x:v>
      </x:c>
      <x:c r="L568" s="25" t="e">
        <x:f>HYPERLINK("https://item.taobao.com/item.htm?id=1037625034673","打开商品")</x:f>
        <x:v>HYPERLINK is not implemented. linkLocation=https://item.taobao.com/item.htm?id=1037625034673, friendlyName=打开商品</x:v>
      </x:c>
      <x:c r="M568" s="25" t="e">
        <x:f>HYPERLINK("https://data.zhiyitech.cn/itemDetail/overview/base?itemId=1037625034673","打开知衣")</x:f>
        <x:v>HYPERLINK is not implemented. linkLocation=https://data.zhiyitech.cn/itemDetail/overview/base?itemId=1037625034673, friendlyName=打开知衣</x:v>
      </x:c>
      <x:c r="N568" s="25" t="e">
        <x:f>HYPERLINK("https://img.alicdn.com/bao/uploaded/i3/3315538487/O1CN01D6Z3ae2CZ6YqJ6yb4_!!3315538487.jpg","查看主图")</x:f>
        <x:v>HYPERLINK is not implemented. linkLocation=https://img.alicdn.com/bao/uploaded/i3/3315538487/O1CN01D6Z3ae2CZ6YqJ6yb4_!!3315538487.jpg, friendlyName=查看主图</x:v>
      </x:c>
      <x:c r="O568" s="9" t="str">
        <x:v>标题及既有类目语义复核；佩斯利图案绉纱迷笛半身裙；原类目及标题已能确认半身裙；展示使用已知大类，未知裙长下沉到结构字段，不强猜长短。</x:v>
      </x:c>
      <x:c r="P568" s="9" t="str">
        <x:v>普通男女装</x:v>
      </x:c>
      <x:c r="Q568" s="9" t="str">
        <x:v>W_SKIRTS_AVGPAID_1700_1800_ANNUAL2026.xlsx</x:v>
      </x:c>
      <x:c r="R568" s="9" t="str">
        <x:v>默认</x:v>
      </x:c>
      <x:c r="S568" s="9" t="n">
        <x:v>102</x:v>
      </x:c>
      <x:c r="T568" s="9" t="str">
        <x:v>c25ed77c53c7c5cfcf728778a0e9b297d8689503f62756a939cbd534ca9b587a</x:v>
      </x:c>
      <x:c r="U568" s="9" t="str">
        <x:v>W_SKIRTS_AVGPAID_1700_1800_ANNUAL2026</x:v>
      </x:c>
      <x:c r="V568" s="9" t="str">
        <x:v>W_SKIRTS_AVGPAID_1700_1800_ANNUAL2026.xlsx / 默认 / 第102行 / SHA256 c25ed77c53c7c5cfcf728778a0e9b297d8689503f62756a939cbd534ca9b587a</x:v>
      </x:c>
    </x:row>
    <x:row r="569" ht="58" customHeight="1">
      <x:c r="A569" s="23" t="str">
        <x:v>1064159872507</x:v>
      </x:c>
      <x:c r="B569" s="22"/>
      <x:c r="C569" s="22"/>
      <x:c r="D569" s="22"/>
      <x:c r="E569" s="9" t="str">
        <x:v>裙长未明确</x:v>
      </x:c>
      <x:c r="F569" s="9" t="str">
        <x:v>裙装</x:v>
      </x:c>
      <x:c r="G569" s="9" t="str">
        <x:v>半身裙</x:v>
      </x:c>
      <x:c r="H569" s="9" t="str">
        <x:v>女</x:v>
      </x:c>
      <x:c r="I569" s="9" t="str">
        <x:v>拉夫劳伦牛仔布铅笔半身裙</x:v>
      </x:c>
      <x:c r="J569" s="9" t="str">
        <x:v>LAUREN RALPH LAUREN（女装）</x:v>
      </x:c>
      <x:c r="K569" s="24" t="n">
        <x:v>1553.79</x:v>
      </x:c>
      <x:c r="L569" s="25" t="e">
        <x:f>HYPERLINK("https://item.taobao.com/item.htm?id=1064159872507","打开商品")</x:f>
        <x:v>HYPERLINK is not implemented. linkLocation=https://item.taobao.com/item.htm?id=1064159872507, friendlyName=打开商品</x:v>
      </x:c>
      <x:c r="M569" s="25" t="e">
        <x:f>HYPERLINK("https://data.zhiyitech.cn/itemDetail/overview/base?itemId=1064159872507","打开知衣")</x:f>
        <x:v>HYPERLINK is not implemented. linkLocation=https://data.zhiyitech.cn/itemDetail/overview/base?itemId=1064159872507, friendlyName=打开知衣</x:v>
      </x:c>
      <x:c r="N569" s="25" t="e">
        <x:f>HYPERLINK("https://img.alicdn.com/bao/uploaded/i1/3315538487/O1CN017kbZq42CZ6YojuNd0_!!4611686018427386423-0-item_pic.jpg","查看主图")</x:f>
        <x:v>HYPERLINK is not implemented. linkLocation=https://img.alicdn.com/bao/uploaded/i1/3315538487/O1CN017kbZq42CZ6YojuNd0_!!4611686018427386423-0-item_pic.jpg, friendlyName=查看主图</x:v>
      </x:c>
      <x:c r="O569" s="9" t="str">
        <x:v>标题及既有类目语义复核；拉夫劳伦牛仔布铅笔半身裙；原类目及标题已能确认半身裙；展示使用已知大类，未知裙长下沉到结构字段，不强猜长短。</x:v>
      </x:c>
      <x:c r="P569" s="9" t="str">
        <x:v>普通男女装</x:v>
      </x:c>
      <x:c r="Q569" s="9" t="str">
        <x:v>W_SKIRTS_AVGPAID_1500_1600_ANNUAL2026.xlsx</x:v>
      </x:c>
      <x:c r="R569" s="9" t="str">
        <x:v>默认</x:v>
      </x:c>
      <x:c r="S569" s="9" t="n">
        <x:v>253</x:v>
      </x:c>
      <x:c r="T569" s="9" t="str">
        <x:v>deede8b56943df4f914be45dba170f12e69064023d6ef0e88dbde1764f6ba23e</x:v>
      </x:c>
      <x:c r="U569" s="9" t="str">
        <x:v>W_SKIRTS_AVGPAID_1500_1600_ANNUAL2026</x:v>
      </x:c>
      <x:c r="V569" s="9" t="str">
        <x:v>W_SKIRTS_AVGPAID_1500_1600_ANNUAL2026.xlsx / 默认 / 第253行 / SHA256 deede8b56943df4f914be45dba170f12e69064023d6ef0e88dbde1764f6ba23e</x:v>
      </x:c>
    </x:row>
    <x:row r="570" ht="58" customHeight="1">
      <x:c r="A570" s="23" t="str">
        <x:v>1075216511340</x:v>
      </x:c>
      <x:c r="B570" s="22"/>
      <x:c r="C570" s="22"/>
      <x:c r="D570" s="22"/>
      <x:c r="E570" s="9" t="str">
        <x:v>裙长未明确</x:v>
      </x:c>
      <x:c r="F570" s="9" t="str">
        <x:v>裙装</x:v>
      </x:c>
      <x:c r="G570" s="9" t="str">
        <x:v>半身裙</x:v>
      </x:c>
      <x:c r="H570" s="9" t="str">
        <x:v>女</x:v>
      </x:c>
      <x:c r="I570" s="9" t="str">
        <x:v>Lauren/拉夫劳伦女装 26年秋季牛仔布A字型迷笛半身裙RL63356</x:v>
      </x:c>
      <x:c r="J570" s="9" t="str">
        <x:v>LAUREN RALPH LAUREN（女装）</x:v>
      </x:c>
      <x:c r="K570" s="24" t="n">
        <x:v>1740.32</x:v>
      </x:c>
      <x:c r="L570" s="25" t="e">
        <x:f>HYPERLINK("https://item.taobao.com/item.htm?id=1075216511340","打开商品")</x:f>
        <x:v>HYPERLINK is not implemented. linkLocation=https://item.taobao.com/item.htm?id=1075216511340, friendlyName=打开商品</x:v>
      </x:c>
      <x:c r="M570" s="25" t="e">
        <x:f>HYPERLINK("https://data.zhiyitech.cn/itemDetail/overview/base?itemId=1075216511340","打开知衣")</x:f>
        <x:v>HYPERLINK is not implemented. linkLocation=https://data.zhiyitech.cn/itemDetail/overview/base?itemId=1075216511340, friendlyName=打开知衣</x:v>
      </x:c>
      <x:c r="N570" s="25" t="e">
        <x:f>HYPERLINK("https://img.alicdn.com/bao/uploaded/i4/3315538487/O1CN01hDK0MF2OMvF1chua_!!3315538487.jpg","查看主图")</x:f>
        <x:v>HYPERLINK is not implemented. linkLocation=https://img.alicdn.com/bao/uploaded/i4/3315538487/O1CN01hDK0MF2OMvF1chua_!!3315538487.jpg, friendlyName=查看主图</x:v>
      </x:c>
      <x:c r="O570" s="9" t="str">
        <x:v>标题及既有类目语义复核；Lauren/拉夫劳伦女装 26年秋季牛仔布A字型迷笛半身裙RL63356；原类目及标题已能确认半身裙；展示使用已知大类，未知裙长下沉到结构字段，不强猜长短。</x:v>
      </x:c>
      <x:c r="P570" s="9" t="str">
        <x:v>普通男女装</x:v>
      </x:c>
      <x:c r="Q570" s="9" t="str">
        <x:v>W_SKIRTS_AVGPAID_1700_1800_ANNUAL2026.xlsx</x:v>
      </x:c>
      <x:c r="R570" s="9" t="str">
        <x:v>默认</x:v>
      </x:c>
      <x:c r="S570" s="9" t="n">
        <x:v>158</x:v>
      </x:c>
      <x:c r="T570" s="9" t="str">
        <x:v>c25ed77c53c7c5cfcf728778a0e9b297d8689503f62756a939cbd534ca9b587a</x:v>
      </x:c>
      <x:c r="U570" s="9" t="str">
        <x:v>W_SKIRTS_AVGPAID_1700_1800_ANNUAL2026</x:v>
      </x:c>
      <x:c r="V570" s="9" t="str">
        <x:v>W_SKIRTS_AVGPAID_1700_1800_ANNUAL2026.xlsx / 默认 / 第158行 / SHA256 c25ed77c53c7c5cfcf728778a0e9b297d8689503f62756a939cbd534ca9b587a</x:v>
      </x:c>
    </x:row>
    <x:row r="571" ht="58" customHeight="1">
      <x:c r="A571" s="23" t="str">
        <x:v>977088975422</x:v>
      </x:c>
      <x:c r="B571" s="22"/>
      <x:c r="C571" s="22"/>
      <x:c r="D571" s="22"/>
      <x:c r="E571" s="9" t="str">
        <x:v>裙长未明确</x:v>
      </x:c>
      <x:c r="F571" s="9" t="str">
        <x:v>裙装</x:v>
      </x:c>
      <x:c r="G571" s="9" t="str">
        <x:v>半身裙</x:v>
      </x:c>
      <x:c r="H571" s="9" t="str">
        <x:v>女</x:v>
      </x:c>
      <x:c r="I571" s="9" t="str">
        <x:v>Lauren/拉夫劳伦女装 佩斯利图案褶皱乔其纱迷笛半身裙RL62823</x:v>
      </x:c>
      <x:c r="J571" s="9" t="str">
        <x:v>LAUREN RALPH LAUREN（女装）</x:v>
      </x:c>
      <x:c r="K571" s="24" t="n">
        <x:v>1586.98</x:v>
      </x:c>
      <x:c r="L571" s="25" t="e">
        <x:f>HYPERLINK("https://item.taobao.com/item.htm?id=977088975422","打开商品")</x:f>
        <x:v>HYPERLINK is not implemented. linkLocation=https://item.taobao.com/item.htm?id=977088975422, friendlyName=打开商品</x:v>
      </x:c>
      <x:c r="M571" s="25" t="e">
        <x:f>HYPERLINK("https://data.zhiyitech.cn/itemDetail/overview/base?itemId=977088975422","打开知衣")</x:f>
        <x:v>HYPERLINK is not implemented. linkLocation=https://data.zhiyitech.cn/itemDetail/overview/base?itemId=977088975422, friendlyName=打开知衣</x:v>
      </x:c>
      <x:c r="N571" s="25" t="e">
        <x:f>HYPERLINK("https://img.alicdn.com/bao/uploaded/i3/3315538487/O1CN01up2lED2CZ6WX3oUB0_!!3315538487.jpg","查看主图")</x:f>
        <x:v>HYPERLINK is not implemented. linkLocation=https://img.alicdn.com/bao/uploaded/i3/3315538487/O1CN01up2lED2CZ6WX3oUB0_!!3315538487.jpg, friendlyName=查看主图</x:v>
      </x:c>
      <x:c r="O571" s="9" t="str">
        <x:v>标题及既有类目语义复核；Lauren/拉夫劳伦女装 佩斯利图案褶皱乔其纱迷笛半身裙RL62823；原类目及标题已能确认半身裙；展示使用已知大类，未知裙长下沉到结构字段，不强猜长短。</x:v>
      </x:c>
      <x:c r="P571" s="9" t="str">
        <x:v>普通男女装</x:v>
      </x:c>
      <x:c r="Q571" s="9" t="str">
        <x:v>W_SKIRTS_AVGPAID_1500_1600_ANNUAL2026.xlsx</x:v>
      </x:c>
      <x:c r="R571" s="9" t="str">
        <x:v>默认</x:v>
      </x:c>
      <x:c r="S571" s="9" t="n">
        <x:v>494</x:v>
      </x:c>
      <x:c r="T571" s="9" t="str">
        <x:v>deede8b56943df4f914be45dba170f12e69064023d6ef0e88dbde1764f6ba23e</x:v>
      </x:c>
      <x:c r="U571" s="9" t="str">
        <x:v>W_SKIRTS_AVGPAID_1500_1600_ANNUAL2026</x:v>
      </x:c>
      <x:c r="V571" s="9" t="str">
        <x:v>W_SKIRTS_AVGPAID_1500_1600_ANNUAL2026.xlsx / 默认 / 第494行 / SHA256 deede8b56943df4f914be45dba170f12e69064023d6ef0e88dbde1764f6ba23e</x:v>
      </x:c>
    </x:row>
    <x:row r="572" ht="58" customHeight="1">
      <x:c r="A572" s="23" t="str">
        <x:v>993221986231</x:v>
      </x:c>
      <x:c r="B572" s="22"/>
      <x:c r="C572" s="22"/>
      <x:c r="D572" s="22"/>
      <x:c r="E572" s="9" t="str">
        <x:v>裙长未明确</x:v>
      </x:c>
      <x:c r="F572" s="9" t="str">
        <x:v>裙装</x:v>
      </x:c>
      <x:c r="G572" s="9" t="str">
        <x:v>半身裙</x:v>
      </x:c>
      <x:c r="H572" s="9" t="str">
        <x:v>女</x:v>
      </x:c>
      <x:c r="I572" s="9" t="str">
        <x:v>纽扣饰边毛衫式铅笔半身裙</x:v>
      </x:c>
      <x:c r="J572" s="9" t="str">
        <x:v>LAUREN RALPH LAUREN（女装）</x:v>
      </x:c>
      <x:c r="K572" s="24" t="n">
        <x:v>1713.25</x:v>
      </x:c>
      <x:c r="L572" s="25" t="e">
        <x:f>HYPERLINK("https://item.taobao.com/item.htm?id=993221986231","打开商品")</x:f>
        <x:v>HYPERLINK is not implemented. linkLocation=https://item.taobao.com/item.htm?id=993221986231, friendlyName=打开商品</x:v>
      </x:c>
      <x:c r="M572" s="25" t="e">
        <x:f>HYPERLINK("https://data.zhiyitech.cn/itemDetail/overview/base?itemId=993221986231","打开知衣")</x:f>
        <x:v>HYPERLINK is not implemented. linkLocation=https://data.zhiyitech.cn/itemDetail/overview/base?itemId=993221986231, friendlyName=打开知衣</x:v>
      </x:c>
      <x:c r="N572" s="25" t="e">
        <x:f>HYPERLINK("https://img.alicdn.com/bao/uploaded/i3/3315538487/O1CN01y73cel2CZ6Z5PuXw2_!!3315538487.jpg","查看主图")</x:f>
        <x:v>HYPERLINK is not implemented. linkLocation=https://img.alicdn.com/bao/uploaded/i3/3315538487/O1CN01y73cel2CZ6Z5PuXw2_!!3315538487.jpg, friendlyName=查看主图</x:v>
      </x:c>
      <x:c r="O572" s="9" t="str">
        <x:v>标题及既有类目语义复核；纽扣饰边毛衫式铅笔半身裙；原类目及标题已能确认半身裙；展示使用已知大类，未知裙长下沉到结构字段，不强猜长短。</x:v>
      </x:c>
      <x:c r="P572" s="9" t="str">
        <x:v>普通男女装</x:v>
      </x:c>
      <x:c r="Q572" s="9" t="str">
        <x:v>W_SKIRTS_AVGPAID_1700_1800_ANNUAL2026.xlsx</x:v>
      </x:c>
      <x:c r="R572" s="9" t="str">
        <x:v>默认</x:v>
      </x:c>
      <x:c r="S572" s="9" t="n">
        <x:v>249</x:v>
      </x:c>
      <x:c r="T572" s="9" t="str">
        <x:v>c25ed77c53c7c5cfcf728778a0e9b297d8689503f62756a939cbd534ca9b587a</x:v>
      </x:c>
      <x:c r="U572" s="9" t="str">
        <x:v>W_SKIRTS_AVGPAID_1700_1800_ANNUAL2026</x:v>
      </x:c>
      <x:c r="V572" s="9" t="str">
        <x:v>W_SKIRTS_AVGPAID_1700_1800_ANNUAL2026.xlsx / 默认 / 第249行 / SHA256 c25ed77c53c7c5cfcf728778a0e9b297d8689503f62756a939cbd534ca9b587a</x:v>
      </x:c>
    </x:row>
    <x:row r="573" ht="58" customHeight="1">
      <x:c r="A573" s="23" t="str">
        <x:v>994476920077</x:v>
      </x:c>
      <x:c r="B573" s="22"/>
      <x:c r="C573" s="22"/>
      <x:c r="D573" s="22"/>
      <x:c r="E573" s="9" t="str">
        <x:v>裙长未明确</x:v>
      </x:c>
      <x:c r="F573" s="9" t="str">
        <x:v>裙装</x:v>
      </x:c>
      <x:c r="G573" s="9" t="str">
        <x:v>半身裙</x:v>
      </x:c>
      <x:c r="H573" s="9" t="str">
        <x:v>女</x:v>
      </x:c>
      <x:c r="I573" s="9" t="str">
        <x:v>牛仔布铅笔迷笛半身裙</x:v>
      </x:c>
      <x:c r="J573" s="9" t="str">
        <x:v>LAUREN RALPH LAUREN（女装）</x:v>
      </x:c>
      <x:c r="K573" s="24" t="n">
        <x:v>1750.5</x:v>
      </x:c>
      <x:c r="L573" s="25" t="e">
        <x:f>HYPERLINK("https://item.taobao.com/item.htm?id=994476920077","打开商品")</x:f>
        <x:v>HYPERLINK is not implemented. linkLocation=https://item.taobao.com/item.htm?id=994476920077, friendlyName=打开商品</x:v>
      </x:c>
      <x:c r="M573" s="25" t="e">
        <x:f>HYPERLINK("https://data.zhiyitech.cn/itemDetail/overview/base?itemId=994476920077","打开知衣")</x:f>
        <x:v>HYPERLINK is not implemented. linkLocation=https://data.zhiyitech.cn/itemDetail/overview/base?itemId=994476920077, friendlyName=打开知衣</x:v>
      </x:c>
      <x:c r="N573" s="25" t="e">
        <x:f>HYPERLINK("https://img.alicdn.com/tps/i3/3315538487/O1CN01MPqhra2CZ6VxCz1Re_!!4611686018427386423-0-item_pic.jpg","查看主图")</x:f>
        <x:v>HYPERLINK is not implemented. linkLocation=https://img.alicdn.com/tps/i3/3315538487/O1CN01MPqhra2CZ6VxCz1Re_!!4611686018427386423-0-item_pic.jpg, friendlyName=查看主图</x:v>
      </x:c>
      <x:c r="O573" s="9" t="str">
        <x:v>标题及既有类目语义复核；牛仔布铅笔迷笛半身裙；原类目及标题已能确认半身裙；展示使用已知大类，未知裙长下沉到结构字段，不强猜长短。</x:v>
      </x:c>
      <x:c r="P573" s="9" t="str">
        <x:v>普通男女装</x:v>
      </x:c>
      <x:c r="Q573" s="9" t="str">
        <x:v>W_SKIRTS_AVGPAID_1700_1800_ANNUAL2026.xlsx</x:v>
      </x:c>
      <x:c r="R573" s="9" t="str">
        <x:v>默认</x:v>
      </x:c>
      <x:c r="S573" s="9" t="n">
        <x:v>488</x:v>
      </x:c>
      <x:c r="T573" s="9" t="str">
        <x:v>c25ed77c53c7c5cfcf728778a0e9b297d8689503f62756a939cbd534ca9b587a</x:v>
      </x:c>
      <x:c r="U573" s="9" t="str">
        <x:v>W_SKIRTS_AVGPAID_1700_1800_ANNUAL2026</x:v>
      </x:c>
      <x:c r="V573" s="9" t="str">
        <x:v>W_SKIRTS_AVGPAID_1700_1800_ANNUAL2026.xlsx / 默认 / 第488行 / SHA256 c25ed77c53c7c5cfcf728778a0e9b297d8689503f62756a939cbd534ca9b587a</x:v>
      </x:c>
    </x:row>
    <x:row r="574" ht="58" customHeight="1">
      <x:c r="A574" s="23" t="str">
        <x:v>1000955420654</x:v>
      </x:c>
      <x:c r="B574" s="22"/>
      <x:c r="C574" s="22"/>
      <x:c r="D574" s="22"/>
      <x:c r="E574" s="9" t="str">
        <x:v>裙长未明确</x:v>
      </x:c>
      <x:c r="F574" s="9" t="str">
        <x:v>裙装</x:v>
      </x:c>
      <x:c r="G574" s="9" t="str">
        <x:v>半身裙</x:v>
      </x:c>
      <x:c r="H574" s="9" t="str">
        <x:v>女</x:v>
      </x:c>
      <x:c r="I574" s="9" t="str">
        <x:v>lefame拉飞姆2026春秋时尚高腰立体蝴蝶结花边羊毛半裙半身裙</x:v>
      </x:c>
      <x:c r="J574" s="9" t="str">
        <x:v>LE FAME</x:v>
      </x:c>
      <x:c r="K574" s="24" t="n">
        <x:v>1387.53</x:v>
      </x:c>
      <x:c r="L574" s="25" t="e">
        <x:f>HYPERLINK("https://item.taobao.com/item.htm?id=1000955420654","打开商品")</x:f>
        <x:v>HYPERLINK is not implemented. linkLocation=https://item.taobao.com/item.htm?id=1000955420654, friendlyName=打开商品</x:v>
      </x:c>
      <x:c r="M574" s="25" t="e">
        <x:f>HYPERLINK("https://data.zhiyitech.cn/itemDetail/overview/base?itemId=1000955420654","打开知衣")</x:f>
        <x:v>HYPERLINK is not implemented. linkLocation=https://data.zhiyitech.cn/itemDetail/overview/base?itemId=1000955420654, friendlyName=打开知衣</x:v>
      </x:c>
      <x:c r="N574" s="25" t="e">
        <x:f>HYPERLINK("https://img.alicdn.com/bao/uploaded/i4/3300138435/O1CN01LD0gutoDEoK2vH2e_!!3300138435.jpg","查看主图")</x:f>
        <x:v>HYPERLINK is not implemented. linkLocation=https://img.alicdn.com/bao/uploaded/i4/3300138435/O1CN01LD0gutoDEoK2vH2e_!!3300138435.jpg, friendlyName=查看主图</x:v>
      </x:c>
      <x:c r="O574" s="9" t="str">
        <x:v>标题及既有类目语义复核；lefame拉飞姆2026春秋时尚高腰立体蝴蝶结花边羊毛半裙半身裙；原类目及标题已能确认半身裙；展示使用已知大类，未知裙长下沉到结构字段，不强猜长短。</x:v>
      </x:c>
      <x:c r="P574" s="9" t="str">
        <x:v>普通男女装</x:v>
      </x:c>
      <x:c r="Q574" s="9" t="str">
        <x:v>W_SKIRTS_AVGPAID_1300_1400_ANNUAL2026.xlsx</x:v>
      </x:c>
      <x:c r="R574" s="9" t="str">
        <x:v>默认</x:v>
      </x:c>
      <x:c r="S574" s="9" t="n">
        <x:v>321</x:v>
      </x:c>
      <x:c r="T574" s="9" t="str">
        <x:v>bd4dae1e08e9eca7ddd0669235bf59107cdc418b9c2898fc16f36a7ab5748692</x:v>
      </x:c>
      <x:c r="U574" s="9" t="str">
        <x:v>W_SKIRTS_AVGPAID_1300_1400_ANNUAL2026</x:v>
      </x:c>
      <x:c r="V574" s="9" t="str">
        <x:v>W_SKIRTS_AVGPAID_1300_1400_ANNUAL2026.xlsx / 默认 / 第321行 / SHA256 bd4dae1e08e9eca7ddd0669235bf59107cdc418b9c2898fc16f36a7ab5748692</x:v>
      </x:c>
    </x:row>
    <x:row r="575" ht="58" customHeight="1">
      <x:c r="A575" s="23" t="str">
        <x:v>1011266445453</x:v>
      </x:c>
      <x:c r="B575" s="22"/>
      <x:c r="C575" s="22"/>
      <x:c r="D575" s="22"/>
      <x:c r="E575" s="9" t="str">
        <x:v>裙长未明确</x:v>
      </x:c>
      <x:c r="F575" s="9" t="str">
        <x:v>裙装</x:v>
      </x:c>
      <x:c r="G575" s="9" t="str">
        <x:v>半身裙</x:v>
      </x:c>
      <x:c r="H575" s="9" t="str">
        <x:v>女</x:v>
      </x:c>
      <x:c r="I575" s="9" t="str">
        <x:v>lefame拉飞姆2026春秋蕾丝花边拼接绣花饰边格纹半裙百褶裙</x:v>
      </x:c>
      <x:c r="J575" s="9" t="str">
        <x:v>LE FAME</x:v>
      </x:c>
      <x:c r="K575" s="24" t="n">
        <x:v>1527.46</x:v>
      </x:c>
      <x:c r="L575" s="25" t="e">
        <x:f>HYPERLINK("https://item.taobao.com/item.htm?id=1011266445453","打开商品")</x:f>
        <x:v>HYPERLINK is not implemented. linkLocation=https://item.taobao.com/item.htm?id=1011266445453, friendlyName=打开商品</x:v>
      </x:c>
      <x:c r="M575" s="25" t="e">
        <x:f>HYPERLINK("https://data.zhiyitech.cn/itemDetail/overview/base?itemId=1011266445453","打开知衣")</x:f>
        <x:v>HYPERLINK is not implemented. linkLocation=https://data.zhiyitech.cn/itemDetail/overview/base?itemId=1011266445453, friendlyName=打开知衣</x:v>
      </x:c>
      <x:c r="N575" s="25" t="e">
        <x:f>HYPERLINK("https://img.alicdn.com/bao/uploaded/i4/3300138435/O1CN01rC7moylX6MB2vH2e_!!3300138435.jpg","查看主图")</x:f>
        <x:v>HYPERLINK is not implemented. linkLocation=https://img.alicdn.com/bao/uploaded/i4/3300138435/O1CN01rC7moylX6MB2vH2e_!!3300138435.jpg, friendlyName=查看主图</x:v>
      </x:c>
      <x:c r="O575" s="9" t="str">
        <x:v>标题及既有类目语义复核；lefame拉飞姆2026春秋蕾丝花边拼接绣花饰边格纹半裙百褶裙；原类目及标题已能确认半身裙；展示使用已知大类，未知裙长下沉到结构字段，不强猜长短。</x:v>
      </x:c>
      <x:c r="P575" s="9" t="str">
        <x:v>普通男女装</x:v>
      </x:c>
      <x:c r="Q575" s="9" t="str">
        <x:v>W_SKIRTS_AVGPAID_1500_1600_ANNUAL2026.xlsx</x:v>
      </x:c>
      <x:c r="R575" s="9" t="str">
        <x:v>默认</x:v>
      </x:c>
      <x:c r="S575" s="9" t="n">
        <x:v>196</x:v>
      </x:c>
      <x:c r="T575" s="9" t="str">
        <x:v>deede8b56943df4f914be45dba170f12e69064023d6ef0e88dbde1764f6ba23e</x:v>
      </x:c>
      <x:c r="U575" s="9" t="str">
        <x:v>W_SKIRTS_AVGPAID_1500_1600_ANNUAL2026</x:v>
      </x:c>
      <x:c r="V575" s="9" t="str">
        <x:v>W_SKIRTS_AVGPAID_1500_1600_ANNUAL2026.xlsx / 默认 / 第196行 / SHA256 deede8b56943df4f914be45dba170f12e69064023d6ef0e88dbde1764f6ba23e</x:v>
      </x:c>
    </x:row>
    <x:row r="576" ht="58" customHeight="1">
      <x:c r="A576" s="23" t="str">
        <x:v>1028079057206</x:v>
      </x:c>
      <x:c r="B576" s="22"/>
      <x:c r="C576" s="22"/>
      <x:c r="D576" s="22"/>
      <x:c r="E576" s="9" t="str">
        <x:v>裙长未明确</x:v>
      </x:c>
      <x:c r="F576" s="9" t="str">
        <x:v>裙装</x:v>
      </x:c>
      <x:c r="G576" s="9" t="str">
        <x:v>半身裙</x:v>
      </x:c>
      <x:c r="H576" s="9" t="str">
        <x:v>女</x:v>
      </x:c>
      <x:c r="I576" s="9" t="str">
        <x:v>LeFame拉飞姆【小鱼儿】26年夏半身裙LF26X01SS175-2695</x:v>
      </x:c>
      <x:c r="J576" s="9" t="str">
        <x:v>LE FAME</x:v>
      </x:c>
      <x:c r="K576" s="24" t="n">
        <x:v>1748.89</x:v>
      </x:c>
      <x:c r="L576" s="25" t="e">
        <x:f>HYPERLINK("https://item.taobao.com/item.htm?id=1028079057206","打开商品")</x:f>
        <x:v>HYPERLINK is not implemented. linkLocation=https://item.taobao.com/item.htm?id=1028079057206, friendlyName=打开商品</x:v>
      </x:c>
      <x:c r="M576" s="25" t="e">
        <x:f>HYPERLINK("https://data.zhiyitech.cn/itemDetail/overview/base?itemId=1028079057206","打开知衣")</x:f>
        <x:v>HYPERLINK is not implemented. linkLocation=https://data.zhiyitech.cn/itemDetail/overview/base?itemId=1028079057206, friendlyName=打开知衣</x:v>
      </x:c>
      <x:c r="N576" s="25" t="e">
        <x:f>HYPERLINK("https://img.alicdn.com/bao/uploaded/i2/420673109/O1CN01h9JVLJ1YpyV2QULQn_!!420673109.jpg","查看主图")</x:f>
        <x:v>HYPERLINK is not implemented. linkLocation=https://img.alicdn.com/bao/uploaded/i2/420673109/O1CN01h9JVLJ1YpyV2QULQn_!!420673109.jpg, friendlyName=查看主图</x:v>
      </x:c>
      <x:c r="O576" s="9" t="str">
        <x:v>标题及既有类目语义复核；LeFame拉飞姆【小鱼儿】26年夏半身裙LF26X01SS175-2695；原类目及标题已能确认半身裙；展示使用已知大类，未知裙长下沉到结构字段，不强猜长短。</x:v>
      </x:c>
      <x:c r="P576" s="9" t="str">
        <x:v>普通男女装</x:v>
      </x:c>
      <x:c r="Q576" s="9" t="str">
        <x:v>W_SKIRTS_AVGPAID_1700_1800_ANNUAL2026.xlsx</x:v>
      </x:c>
      <x:c r="R576" s="9" t="str">
        <x:v>默认</x:v>
      </x:c>
      <x:c r="S576" s="9" t="n">
        <x:v>379</x:v>
      </x:c>
      <x:c r="T576" s="9" t="str">
        <x:v>c25ed77c53c7c5cfcf728778a0e9b297d8689503f62756a939cbd534ca9b587a</x:v>
      </x:c>
      <x:c r="U576" s="9" t="str">
        <x:v>W_SKIRTS_AVGPAID_1700_1800_ANNUAL2026</x:v>
      </x:c>
      <x:c r="V576" s="9" t="str">
        <x:v>W_SKIRTS_AVGPAID_1700_1800_ANNUAL2026.xlsx / 默认 / 第379行 / SHA256 c25ed77c53c7c5cfcf728778a0e9b297d8689503f62756a939cbd534ca9b587a</x:v>
      </x:c>
    </x:row>
    <x:row r="577" ht="58" customHeight="1">
      <x:c r="A577" s="23" t="str">
        <x:v>1040893674631</x:v>
      </x:c>
      <x:c r="B577" s="22"/>
      <x:c r="C577" s="22"/>
      <x:c r="D577" s="22"/>
      <x:c r="E577" s="9" t="str">
        <x:v>裙长未明确</x:v>
      </x:c>
      <x:c r="F577" s="9" t="str">
        <x:v>裙装</x:v>
      </x:c>
      <x:c r="G577" s="9" t="str">
        <x:v>半身裙</x:v>
      </x:c>
      <x:c r="H577" s="9" t="str">
        <x:v>女</x:v>
      </x:c>
      <x:c r="I577" s="9" t="str">
        <x:v>【章若楠同款】lefame拉飞姆26夏新款绣花饰边半裙欧根纱下摆褶饰</x:v>
      </x:c>
      <x:c r="J577" s="9" t="str">
        <x:v>LE FAME</x:v>
      </x:c>
      <x:c r="K577" s="24" t="n">
        <x:v>1785.4</x:v>
      </x:c>
      <x:c r="L577" s="25" t="e">
        <x:f>HYPERLINK("https://item.taobao.com/item.htm?id=1040893674631","打开商品")</x:f>
        <x:v>HYPERLINK is not implemented. linkLocation=https://item.taobao.com/item.htm?id=1040893674631, friendlyName=打开商品</x:v>
      </x:c>
      <x:c r="M577" s="25" t="e">
        <x:f>HYPERLINK("https://data.zhiyitech.cn/itemDetail/overview/base?itemId=1040893674631","打开知衣")</x:f>
        <x:v>HYPERLINK is not implemented. linkLocation=https://data.zhiyitech.cn/itemDetail/overview/base?itemId=1040893674631, friendlyName=打开知衣</x:v>
      </x:c>
      <x:c r="N577" s="25" t="e">
        <x:f>HYPERLINK("https://img.alicdn.com/bao/uploaded/i4/3300138435/O1CN01lrtzU5D3d7H2vH2e_!!3300138435.jpg","查看主图")</x:f>
        <x:v>HYPERLINK is not implemented. linkLocation=https://img.alicdn.com/bao/uploaded/i4/3300138435/O1CN01lrtzU5D3d7H2vH2e_!!3300138435.jpg, friendlyName=查看主图</x:v>
      </x:c>
      <x:c r="O577" s="9" t="str">
        <x:v>标题及既有类目语义复核；【章若楠同款】lefame拉飞姆26夏新款绣花饰边半裙欧根纱下摆褶饰；原类目及标题已能确认半身裙；展示使用已知大类，未知裙长下沉到结构字段，不强猜长短。</x:v>
      </x:c>
      <x:c r="P577" s="9" t="str">
        <x:v>普通男女装</x:v>
      </x:c>
      <x:c r="Q577" s="9" t="str">
        <x:v>W_SKIRTS_AVGPAID_1700_1800_ANNUAL2026.xlsx</x:v>
      </x:c>
      <x:c r="R577" s="9" t="str">
        <x:v>默认</x:v>
      </x:c>
      <x:c r="S577" s="9" t="n">
        <x:v>82</x:v>
      </x:c>
      <x:c r="T577" s="9" t="str">
        <x:v>c25ed77c53c7c5cfcf728778a0e9b297d8689503f62756a939cbd534ca9b587a</x:v>
      </x:c>
      <x:c r="U577" s="9" t="str">
        <x:v>W_SKIRTS_AVGPAID_1700_1800_ANNUAL2026</x:v>
      </x:c>
      <x:c r="V577" s="9" t="str">
        <x:v>W_SKIRTS_AVGPAID_1700_1800_ANNUAL2026.xlsx / 默认 / 第82行 / SHA256 c25ed77c53c7c5cfcf728778a0e9b297d8689503f62756a939cbd534ca9b587a</x:v>
      </x:c>
    </x:row>
    <x:row r="578" ht="58" customHeight="1">
      <x:c r="A578" s="23" t="str">
        <x:v>1040899174403</x:v>
      </x:c>
      <x:c r="B578" s="22"/>
      <x:c r="C578" s="22"/>
      <x:c r="D578" s="22"/>
      <x:c r="E578" s="9" t="str">
        <x:v>裙长未明确</x:v>
      </x:c>
      <x:c r="F578" s="9" t="str">
        <x:v>裙装</x:v>
      </x:c>
      <x:c r="G578" s="9" t="str">
        <x:v>半身裙</x:v>
      </x:c>
      <x:c r="H578" s="9" t="str">
        <x:v>女</x:v>
      </x:c>
      <x:c r="I578" s="9" t="str">
        <x:v>lefame拉飞姆2026夏季新款时尚多层欧根纱绣花白色半裙蛋糕裙女</x:v>
      </x:c>
      <x:c r="J578" s="9" t="str">
        <x:v>LE FAME</x:v>
      </x:c>
      <x:c r="K578" s="24" t="n">
        <x:v>1753.21</x:v>
      </x:c>
      <x:c r="L578" s="25" t="e">
        <x:f>HYPERLINK("https://item.taobao.com/item.htm?id=1040899174403","打开商品")</x:f>
        <x:v>HYPERLINK is not implemented. linkLocation=https://item.taobao.com/item.htm?id=1040899174403, friendlyName=打开商品</x:v>
      </x:c>
      <x:c r="M578" s="25" t="e">
        <x:f>HYPERLINK("https://data.zhiyitech.cn/itemDetail/overview/base?itemId=1040899174403","打开知衣")</x:f>
        <x:v>HYPERLINK is not implemented. linkLocation=https://data.zhiyitech.cn/itemDetail/overview/base?itemId=1040899174403, friendlyName=打开知衣</x:v>
      </x:c>
      <x:c r="N578" s="25" t="e">
        <x:f>HYPERLINK("https://img.alicdn.com/bao/uploaded/i1/3300138435/O1CN012DGdiQjdM5F2vH2e_!!3300138435.jpg","查看主图")</x:f>
        <x:v>HYPERLINK is not implemented. linkLocation=https://img.alicdn.com/bao/uploaded/i1/3300138435/O1CN012DGdiQjdM5F2vH2e_!!3300138435.jpg, friendlyName=查看主图</x:v>
      </x:c>
      <x:c r="O578" s="9" t="str">
        <x:v>标题及既有类目语义复核；lefame拉飞姆2026夏季新款时尚多层欧根纱绣花白色半裙蛋糕裙女；原类目及标题已能确认半身裙；展示使用已知大类，未知裙长下沉到结构字段，不强猜长短。</x:v>
      </x:c>
      <x:c r="P578" s="9" t="str">
        <x:v>普通男女装</x:v>
      </x:c>
      <x:c r="Q578" s="9" t="str">
        <x:v>W_SKIRTS_AVGPAID_1700_1800_ANNUAL2026.xlsx</x:v>
      </x:c>
      <x:c r="R578" s="9" t="str">
        <x:v>默认</x:v>
      </x:c>
      <x:c r="S578" s="9" t="n">
        <x:v>56</x:v>
      </x:c>
      <x:c r="T578" s="9" t="str">
        <x:v>c25ed77c53c7c5cfcf728778a0e9b297d8689503f62756a939cbd534ca9b587a</x:v>
      </x:c>
      <x:c r="U578" s="9" t="str">
        <x:v>W_SKIRTS_AVGPAID_1700_1800_ANNUAL2026</x:v>
      </x:c>
      <x:c r="V578" s="9" t="str">
        <x:v>W_SKIRTS_AVGPAID_1700_1800_ANNUAL2026.xlsx / 默认 / 第56行 / SHA256 c25ed77c53c7c5cfcf728778a0e9b297d8689503f62756a939cbd534ca9b587a</x:v>
      </x:c>
    </x:row>
    <x:row r="579" ht="58" customHeight="1">
      <x:c r="A579" s="23" t="str">
        <x:v>1053447844187</x:v>
      </x:c>
      <x:c r="B579" s="22"/>
      <x:c r="C579" s="22"/>
      <x:c r="D579" s="22"/>
      <x:c r="E579" s="9" t="str">
        <x:v>裙长未明确</x:v>
      </x:c>
      <x:c r="F579" s="9" t="str">
        <x:v>裙装</x:v>
      </x:c>
      <x:c r="G579" s="9" t="str">
        <x:v>半身裙</x:v>
      </x:c>
      <x:c r="H579" s="9" t="str">
        <x:v>女</x:v>
      </x:c>
      <x:c r="I579" s="9" t="str">
        <x:v>lefame拉飞姆2026夏季新款时尚珠饰花卉镂空刺绣半裙</x:v>
      </x:c>
      <x:c r="J579" s="9" t="str">
        <x:v>LE FAME</x:v>
      </x:c>
      <x:c r="K579" s="24" t="n">
        <x:v>1390.21</x:v>
      </x:c>
      <x:c r="L579" s="25" t="e">
        <x:f>HYPERLINK("https://item.taobao.com/item.htm?id=1053447844187","打开商品")</x:f>
        <x:v>HYPERLINK is not implemented. linkLocation=https://item.taobao.com/item.htm?id=1053447844187, friendlyName=打开商品</x:v>
      </x:c>
      <x:c r="M579" s="25" t="e">
        <x:f>HYPERLINK("https://data.zhiyitech.cn/itemDetail/overview/base?itemId=1053447844187","打开知衣")</x:f>
        <x:v>HYPERLINK is not implemented. linkLocation=https://data.zhiyitech.cn/itemDetail/overview/base?itemId=1053447844187, friendlyName=打开知衣</x:v>
      </x:c>
      <x:c r="N579" s="25" t="e">
        <x:f>HYPERLINK("https://img.alicdn.com/bao/uploaded/i3/3300138435/O1CN01vdiyID2CBHxMRx4Z8_!!4611686018427387331-0-item_pic.jpg","查看主图")</x:f>
        <x:v>HYPERLINK is not implemented. linkLocation=https://img.alicdn.com/bao/uploaded/i3/3300138435/O1CN01vdiyID2CBHxMRx4Z8_!!4611686018427387331-0-item_pic.jpg, friendlyName=查看主图</x:v>
      </x:c>
      <x:c r="O579" s="9" t="str">
        <x:v>标题及既有类目语义复核；lefame拉飞姆2026夏季新款时尚珠饰花卉镂空刺绣半裙；原类目及标题已能确认半身裙；展示使用已知大类，未知裙长下沉到结构字段，不强猜长短。</x:v>
      </x:c>
      <x:c r="P579" s="9" t="str">
        <x:v>普通男女装</x:v>
      </x:c>
      <x:c r="Q579" s="9" t="str">
        <x:v>W_SKIRTS_AVGPAID_1300_1400_ANNUAL2026.xlsx</x:v>
      </x:c>
      <x:c r="R579" s="9" t="str">
        <x:v>默认</x:v>
      </x:c>
      <x:c r="S579" s="9" t="n">
        <x:v>398</x:v>
      </x:c>
      <x:c r="T579" s="9" t="str">
        <x:v>bd4dae1e08e9eca7ddd0669235bf59107cdc418b9c2898fc16f36a7ab5748692</x:v>
      </x:c>
      <x:c r="U579" s="9" t="str">
        <x:v>W_SKIRTS_AVGPAID_1300_1400_ANNUAL2026</x:v>
      </x:c>
      <x:c r="V579" s="9" t="str">
        <x:v>W_SKIRTS_AVGPAID_1300_1400_ANNUAL2026.xlsx / 默认 / 第398行 / SHA256 bd4dae1e08e9eca7ddd0669235bf59107cdc418b9c2898fc16f36a7ab5748692</x:v>
      </x:c>
    </x:row>
    <x:row r="580" ht="58" customHeight="1">
      <x:c r="A580" s="23" t="str">
        <x:v>731897464678</x:v>
      </x:c>
      <x:c r="B580" s="22"/>
      <x:c r="C580" s="22"/>
      <x:c r="D580" s="22"/>
      <x:c r="E580" s="9" t="str">
        <x:v>裙长未明确</x:v>
      </x:c>
      <x:c r="F580" s="9" t="str">
        <x:v>裙装</x:v>
      </x:c>
      <x:c r="G580" s="9" t="str">
        <x:v>半身裙</x:v>
      </x:c>
      <x:c r="H580" s="9" t="str">
        <x:v>女</x:v>
      </x:c>
      <x:c r="I580" s="9" t="str">
        <x:v>【沈月同款】lefame拉飞姆马德拉洛可可蛋糕裙miu里miu气半裙女装</x:v>
      </x:c>
      <x:c r="J580" s="9" t="str">
        <x:v>LE FAME</x:v>
      </x:c>
      <x:c r="K580" s="24" t="n">
        <x:v>1559.9</x:v>
      </x:c>
      <x:c r="L580" s="25" t="e">
        <x:f>HYPERLINK("https://item.taobao.com/item.htm?id=731897464678","打开商品")</x:f>
        <x:v>HYPERLINK is not implemented. linkLocation=https://item.taobao.com/item.htm?id=731897464678, friendlyName=打开商品</x:v>
      </x:c>
      <x:c r="M580" s="25" t="e">
        <x:f>HYPERLINK("https://data.zhiyitech.cn/itemDetail/overview/base?itemId=731897464678","打开知衣")</x:f>
        <x:v>HYPERLINK is not implemented. linkLocation=https://data.zhiyitech.cn/itemDetail/overview/base?itemId=731897464678, friendlyName=打开知衣</x:v>
      </x:c>
      <x:c r="N580" s="25" t="e">
        <x:f>HYPERLINK("https://img.alicdn.com/bao/uploaded/i1/3300138435/O1CN01Af6xbxtpiiL2vH2e_!!3300138435.jpg","查看主图")</x:f>
        <x:v>HYPERLINK is not implemented. linkLocation=https://img.alicdn.com/bao/uploaded/i1/3300138435/O1CN01Af6xbxtpiiL2vH2e_!!3300138435.jpg, friendlyName=查看主图</x:v>
      </x:c>
      <x:c r="O580" s="9" t="str">
        <x:v>标题及既有类目语义复核；【沈月同款】lefame拉飞姆马德拉洛可可蛋糕裙miu里miu气半裙女装；原类目及标题已能确认半身裙；展示使用已知大类，未知裙长下沉到结构字段，不强猜长短。</x:v>
      </x:c>
      <x:c r="P580" s="9" t="str">
        <x:v>普通男女装</x:v>
      </x:c>
      <x:c r="Q580" s="9" t="str">
        <x:v>W_SKIRTS_AVGPAID_1500_1600_ANNUAL2026.xlsx</x:v>
      </x:c>
      <x:c r="R580" s="9" t="str">
        <x:v>默认</x:v>
      </x:c>
      <x:c r="S580" s="9" t="n">
        <x:v>35</x:v>
      </x:c>
      <x:c r="T580" s="9" t="str">
        <x:v>deede8b56943df4f914be45dba170f12e69064023d6ef0e88dbde1764f6ba23e</x:v>
      </x:c>
      <x:c r="U580" s="9" t="str">
        <x:v>W_SKIRTS_AVGPAID_1500_1600_ANNUAL2026</x:v>
      </x:c>
      <x:c r="V580" s="9" t="str">
        <x:v>W_SKIRTS_AVGPAID_1500_1600_ANNUAL2026.xlsx / 默认 / 第35行 / SHA256 deede8b56943df4f914be45dba170f12e69064023d6ef0e88dbde1764f6ba23e</x:v>
      </x:c>
    </x:row>
    <x:row r="581" ht="58" customHeight="1">
      <x:c r="A581" s="23" t="str">
        <x:v>732097549437</x:v>
      </x:c>
      <x:c r="B581" s="22"/>
      <x:c r="C581" s="22"/>
      <x:c r="D581" s="22"/>
      <x:c r="E581" s="9" t="str">
        <x:v>裙长未明确</x:v>
      </x:c>
      <x:c r="F581" s="9" t="str">
        <x:v>裙装</x:v>
      </x:c>
      <x:c r="G581" s="9" t="str">
        <x:v>半身裙</x:v>
      </x:c>
      <x:c r="H581" s="9" t="str">
        <x:v>女</x:v>
      </x:c>
      <x:c r="I581" s="9" t="str">
        <x:v>【杨颖同款】lefame拉飞姆洛可可A字蛋糕裙百褶裙女装半裙</x:v>
      </x:c>
      <x:c r="J581" s="9" t="str">
        <x:v>LE FAME</x:v>
      </x:c>
      <x:c r="K581" s="24" t="n">
        <x:v>1724.09</x:v>
      </x:c>
      <x:c r="L581" s="25" t="e">
        <x:f>HYPERLINK("https://item.taobao.com/item.htm?id=732097549437","打开商品")</x:f>
        <x:v>HYPERLINK is not implemented. linkLocation=https://item.taobao.com/item.htm?id=732097549437, friendlyName=打开商品</x:v>
      </x:c>
      <x:c r="M581" s="25" t="e">
        <x:f>HYPERLINK("https://data.zhiyitech.cn/itemDetail/overview/base?itemId=732097549437","打开知衣")</x:f>
        <x:v>HYPERLINK is not implemented. linkLocation=https://data.zhiyitech.cn/itemDetail/overview/base?itemId=732097549437, friendlyName=打开知衣</x:v>
      </x:c>
      <x:c r="N581" s="25" t="e">
        <x:f>HYPERLINK("https://img.alicdn.com/bao/uploaded/i4/3300138435/O1CN015hKRH3KDDaC2vH2e_!!3300138435.jpg","查看主图")</x:f>
        <x:v>HYPERLINK is not implemented. linkLocation=https://img.alicdn.com/bao/uploaded/i4/3300138435/O1CN015hKRH3KDDaC2vH2e_!!3300138435.jpg, friendlyName=查看主图</x:v>
      </x:c>
      <x:c r="O581" s="9" t="str">
        <x:v>标题及既有类目语义复核；【杨颖同款】lefame拉飞姆洛可可A字蛋糕裙百褶裙女装半裙；原类目及标题已能确认半身裙；展示使用已知大类，未知裙长下沉到结构字段，不强猜长短。</x:v>
      </x:c>
      <x:c r="P581" s="9" t="str">
        <x:v>普通男女装</x:v>
      </x:c>
      <x:c r="Q581" s="9" t="str">
        <x:v>W_SKIRTS_AVGPAID_1700_1800_ANNUAL2026.xlsx</x:v>
      </x:c>
      <x:c r="R581" s="9" t="str">
        <x:v>默认</x:v>
      </x:c>
      <x:c r="S581" s="9" t="n">
        <x:v>41</x:v>
      </x:c>
      <x:c r="T581" s="9" t="str">
        <x:v>c25ed77c53c7c5cfcf728778a0e9b297d8689503f62756a939cbd534ca9b587a</x:v>
      </x:c>
      <x:c r="U581" s="9" t="str">
        <x:v>W_SKIRTS_AVGPAID_1700_1800_ANNUAL2026</x:v>
      </x:c>
      <x:c r="V581" s="9" t="str">
        <x:v>W_SKIRTS_AVGPAID_1700_1800_ANNUAL2026.xlsx / 默认 / 第41行 / SHA256 c25ed77c53c7c5cfcf728778a0e9b297d8689503f62756a939cbd534ca9b587a</x:v>
      </x:c>
    </x:row>
    <x:row r="582" ht="58" customHeight="1">
      <x:c r="A582" s="23" t="str">
        <x:v>733070578914</x:v>
      </x:c>
      <x:c r="B582" s="22"/>
      <x:c r="C582" s="22"/>
      <x:c r="D582" s="22"/>
      <x:c r="E582" s="9" t="str">
        <x:v>裙长未明确</x:v>
      </x:c>
      <x:c r="F582" s="9" t="str">
        <x:v>裙装</x:v>
      </x:c>
      <x:c r="G582" s="9" t="str">
        <x:v>半身裙</x:v>
      </x:c>
      <x:c r="H582" s="9" t="str">
        <x:v>女</x:v>
      </x:c>
      <x:c r="I582" s="9" t="str">
        <x:v>【明星同款】lefame拉飞姆miu里miu气半裙黑色针织半裙女装半身裙</x:v>
      </x:c>
      <x:c r="J582" s="9" t="str">
        <x:v>LE FAME</x:v>
      </x:c>
      <x:c r="K582" s="24" t="n">
        <x:v>1564.4</x:v>
      </x:c>
      <x:c r="L582" s="25" t="e">
        <x:f>HYPERLINK("https://item.taobao.com/item.htm?id=733070578914","打开商品")</x:f>
        <x:v>HYPERLINK is not implemented. linkLocation=https://item.taobao.com/item.htm?id=733070578914, friendlyName=打开商品</x:v>
      </x:c>
      <x:c r="M582" s="25" t="e">
        <x:f>HYPERLINK("https://data.zhiyitech.cn/itemDetail/overview/base?itemId=733070578914","打开知衣")</x:f>
        <x:v>HYPERLINK is not implemented. linkLocation=https://data.zhiyitech.cn/itemDetail/overview/base?itemId=733070578914, friendlyName=打开知衣</x:v>
      </x:c>
      <x:c r="N582" s="25" t="e">
        <x:f>HYPERLINK("https://img.alicdn.com/bao/uploaded/i1/3300138435/O1CN01riJ1uM5CD5B1chua_!!3300138435.jpg","查看主图")</x:f>
        <x:v>HYPERLINK is not implemented. linkLocation=https://img.alicdn.com/bao/uploaded/i1/3300138435/O1CN01riJ1uM5CD5B1chua_!!3300138435.jpg, friendlyName=查看主图</x:v>
      </x:c>
      <x:c r="O582" s="9" t="str">
        <x:v>标题及既有类目语义复核；【明星同款】lefame拉飞姆miu里miu气半裙黑色针织半裙女装半身裙；原类目及标题已能确认半身裙；展示使用已知大类，未知裙长下沉到结构字段，不强猜长短。</x:v>
      </x:c>
      <x:c r="P582" s="9" t="str">
        <x:v>普通男女装</x:v>
      </x:c>
      <x:c r="Q582" s="9" t="str">
        <x:v>W_SKIRTS_AVGPAID_1500_1600_ANNUAL2026.xlsx</x:v>
      </x:c>
      <x:c r="R582" s="9" t="str">
        <x:v>默认</x:v>
      </x:c>
      <x:c r="S582" s="9" t="n">
        <x:v>66</x:v>
      </x:c>
      <x:c r="T582" s="9" t="str">
        <x:v>deede8b56943df4f914be45dba170f12e69064023d6ef0e88dbde1764f6ba23e</x:v>
      </x:c>
      <x:c r="U582" s="9" t="str">
        <x:v>W_SKIRTS_AVGPAID_1500_1600_ANNUAL2026</x:v>
      </x:c>
      <x:c r="V582" s="9" t="str">
        <x:v>W_SKIRTS_AVGPAID_1500_1600_ANNUAL2026.xlsx / 默认 / 第66行 / SHA256 deede8b56943df4f914be45dba170f12e69064023d6ef0e88dbde1764f6ba23e</x:v>
      </x:c>
    </x:row>
    <x:row r="583" ht="58" customHeight="1">
      <x:c r="A583" s="23" t="str">
        <x:v>838743372469</x:v>
      </x:c>
      <x:c r="B583" s="22"/>
      <x:c r="C583" s="22"/>
      <x:c r="D583" s="22"/>
      <x:c r="E583" s="9" t="str">
        <x:v>裙长未明确</x:v>
      </x:c>
      <x:c r="F583" s="9" t="str">
        <x:v>裙装</x:v>
      </x:c>
      <x:c r="G583" s="9" t="str">
        <x:v>半身裙</x:v>
      </x:c>
      <x:c r="H583" s="9" t="str">
        <x:v>女</x:v>
      </x:c>
      <x:c r="I583" s="9" t="str">
        <x:v>【明星同款】lefame拉飞姆芭蕾少女风提花蛋糕裙半身裙女蕾丝花边</x:v>
      </x:c>
      <x:c r="J583" s="9" t="str">
        <x:v>LE FAME</x:v>
      </x:c>
      <x:c r="K583" s="24" t="n">
        <x:v>1309.41</x:v>
      </x:c>
      <x:c r="L583" s="25" t="e">
        <x:f>HYPERLINK("https://item.taobao.com/item.htm?id=838743372469","打开商品")</x:f>
        <x:v>HYPERLINK is not implemented. linkLocation=https://item.taobao.com/item.htm?id=838743372469, friendlyName=打开商品</x:v>
      </x:c>
      <x:c r="M583" s="25" t="e">
        <x:f>HYPERLINK("https://data.zhiyitech.cn/itemDetail/overview/base?itemId=838743372469","打开知衣")</x:f>
        <x:v>HYPERLINK is not implemented. linkLocation=https://data.zhiyitech.cn/itemDetail/overview/base?itemId=838743372469, friendlyName=打开知衣</x:v>
      </x:c>
      <x:c r="N583" s="25" t="e">
        <x:f>HYPERLINK("https://img.alicdn.com/bao/uploaded/i4/3300138435/O1CN01YEpy8HXFuXE2vH2e_!!3300138435.jpg","查看主图")</x:f>
        <x:v>HYPERLINK is not implemented. linkLocation=https://img.alicdn.com/bao/uploaded/i4/3300138435/O1CN01YEpy8HXFuXE2vH2e_!!3300138435.jpg, friendlyName=查看主图</x:v>
      </x:c>
      <x:c r="O583" s="9" t="str">
        <x:v>标题及既有类目语义复核；【明星同款】lefame拉飞姆芭蕾少女风提花蛋糕裙半身裙女蕾丝花边；原类目及标题已能确认半身裙；展示使用已知大类，未知裙长下沉到结构字段，不强猜长短。</x:v>
      </x:c>
      <x:c r="P583" s="9" t="str">
        <x:v>普通男女装</x:v>
      </x:c>
      <x:c r="Q583" s="9" t="str">
        <x:v>W_SKIRTS_AVGPAID_1300_1400_ANNUAL2026.xlsx</x:v>
      </x:c>
      <x:c r="R583" s="9" t="str">
        <x:v>默认</x:v>
      </x:c>
      <x:c r="S583" s="9" t="n">
        <x:v>20</x:v>
      </x:c>
      <x:c r="T583" s="9" t="str">
        <x:v>bd4dae1e08e9eca7ddd0669235bf59107cdc418b9c2898fc16f36a7ab5748692</x:v>
      </x:c>
      <x:c r="U583" s="9" t="str">
        <x:v>W_SKIRTS_AVGPAID_1300_1400_ANNUAL2026</x:v>
      </x:c>
      <x:c r="V583" s="9" t="str">
        <x:v>W_SKIRTS_AVGPAID_1300_1400_ANNUAL2026.xlsx / 默认 / 第20行 / SHA256 bd4dae1e08e9eca7ddd0669235bf59107cdc418b9c2898fc16f36a7ab5748692</x:v>
      </x:c>
    </x:row>
    <x:row r="584" ht="58" customHeight="1">
      <x:c r="A584" s="23" t="str">
        <x:v>868752468071</x:v>
      </x:c>
      <x:c r="B584" s="22"/>
      <x:c r="C584" s="22"/>
      <x:c r="D584" s="22"/>
      <x:c r="E584" s="9" t="str">
        <x:v>裙长未明确</x:v>
      </x:c>
      <x:c r="F584" s="9" t="str">
        <x:v>裙装</x:v>
      </x:c>
      <x:c r="G584" s="9" t="str">
        <x:v>半身裙</x:v>
      </x:c>
      <x:c r="H584" s="9" t="str">
        <x:v>女</x:v>
      </x:c>
      <x:c r="I584" s="9" t="str">
        <x:v>lefame拉飞姆春秋梅花钉珠装饰荷叶边鱼尾半裙半身裙</x:v>
      </x:c>
      <x:c r="J584" s="9" t="str">
        <x:v>LE FAME</x:v>
      </x:c>
      <x:c r="K584" s="24" t="n">
        <x:v>1313.51</x:v>
      </x:c>
      <x:c r="L584" s="25" t="e">
        <x:f>HYPERLINK("https://item.taobao.com/item.htm?id=868752468071","打开商品")</x:f>
        <x:v>HYPERLINK is not implemented. linkLocation=https://item.taobao.com/item.htm?id=868752468071, friendlyName=打开商品</x:v>
      </x:c>
      <x:c r="M584" s="25" t="e">
        <x:f>HYPERLINK("https://data.zhiyitech.cn/itemDetail/overview/base?itemId=868752468071","打开知衣")</x:f>
        <x:v>HYPERLINK is not implemented. linkLocation=https://data.zhiyitech.cn/itemDetail/overview/base?itemId=868752468071, friendlyName=打开知衣</x:v>
      </x:c>
      <x:c r="N584" s="25" t="e">
        <x:f>HYPERLINK("https://img.alicdn.com/bao/uploaded/i1/3300138435/O1CN01HqOIMz6s1ZI1chua_!!3300138435.jpg","查看主图")</x:f>
        <x:v>HYPERLINK is not implemented. linkLocation=https://img.alicdn.com/bao/uploaded/i1/3300138435/O1CN01HqOIMz6s1ZI1chua_!!3300138435.jpg, friendlyName=查看主图</x:v>
      </x:c>
      <x:c r="O584" s="9" t="str">
        <x:v>标题及既有类目语义复核；lefame拉飞姆春秋梅花钉珠装饰荷叶边鱼尾半裙半身裙；原类目及标题已能确认半身裙；展示使用已知大类，未知裙长下沉到结构字段，不强猜长短。</x:v>
      </x:c>
      <x:c r="P584" s="9" t="str">
        <x:v>普通男女装</x:v>
      </x:c>
      <x:c r="Q584" s="9" t="str">
        <x:v>W_SKIRTS_AVGPAID_1300_1400_ANNUAL2026.xlsx</x:v>
      </x:c>
      <x:c r="R584" s="9" t="str">
        <x:v>默认</x:v>
      </x:c>
      <x:c r="S584" s="9" t="n">
        <x:v>415</x:v>
      </x:c>
      <x:c r="T584" s="9" t="str">
        <x:v>bd4dae1e08e9eca7ddd0669235bf59107cdc418b9c2898fc16f36a7ab5748692</x:v>
      </x:c>
      <x:c r="U584" s="9" t="str">
        <x:v>W_SKIRTS_AVGPAID_1300_1400_ANNUAL2026</x:v>
      </x:c>
      <x:c r="V584" s="9" t="str">
        <x:v>W_SKIRTS_AVGPAID_1300_1400_ANNUAL2026.xlsx / 默认 / 第415行 / SHA256 bd4dae1e08e9eca7ddd0669235bf59107cdc418b9c2898fc16f36a7ab5748692</x:v>
      </x:c>
    </x:row>
    <x:row r="585" ht="58" customHeight="1">
      <x:c r="A585" s="23" t="str">
        <x:v>892552728080</x:v>
      </x:c>
      <x:c r="B585" s="22"/>
      <x:c r="C585" s="22"/>
      <x:c r="D585" s="22"/>
      <x:c r="E585" s="9" t="str">
        <x:v>裙长未明确</x:v>
      </x:c>
      <x:c r="F585" s="9" t="str">
        <x:v>裙装</x:v>
      </x:c>
      <x:c r="G585" s="9" t="str">
        <x:v>半身裙</x:v>
      </x:c>
      <x:c r="H585" s="9" t="str">
        <x:v>女</x:v>
      </x:c>
      <x:c r="I585" s="9" t="str">
        <x:v>时尚立体玫瑰造型半裙</x:v>
      </x:c>
      <x:c r="J585" s="9" t="str">
        <x:v>LE FAME</x:v>
      </x:c>
      <x:c r="K585" s="24" t="n">
        <x:v>1723.43</x:v>
      </x:c>
      <x:c r="L585" s="25" t="e">
        <x:f>HYPERLINK("https://item.taobao.com/item.htm?id=892552728080","打开商品")</x:f>
        <x:v>HYPERLINK is not implemented. linkLocation=https://item.taobao.com/item.htm?id=892552728080, friendlyName=打开商品</x:v>
      </x:c>
      <x:c r="M585" s="25" t="e">
        <x:f>HYPERLINK("https://data.zhiyitech.cn/itemDetail/overview/base?itemId=892552728080","打开知衣")</x:f>
        <x:v>HYPERLINK is not implemented. linkLocation=https://data.zhiyitech.cn/itemDetail/overview/base?itemId=892552728080, friendlyName=打开知衣</x:v>
      </x:c>
      <x:c r="N585" s="25" t="e">
        <x:f>HYPERLINK("https://img.alicdn.com/bao/uploaded/i4/3300138435/O1CN01TAP3bbudrmK1chua_!!3300138435.jpg","查看主图")</x:f>
        <x:v>HYPERLINK is not implemented. linkLocation=https://img.alicdn.com/bao/uploaded/i4/3300138435/O1CN01TAP3bbudrmK1chua_!!3300138435.jpg, friendlyName=查看主图</x:v>
      </x:c>
      <x:c r="O585" s="9" t="str">
        <x:v>标题及既有类目语义复核；时尚立体玫瑰造型半裙；原类目及标题已能确认半身裙；展示使用已知大类，未知裙长下沉到结构字段，不强猜长短。</x:v>
      </x:c>
      <x:c r="P585" s="9" t="str">
        <x:v>普通男女装</x:v>
      </x:c>
      <x:c r="Q585" s="9" t="str">
        <x:v>W_SKIRTS_AVGPAID_1700_1800_ANNUAL2026.xlsx</x:v>
      </x:c>
      <x:c r="R585" s="9" t="str">
        <x:v>默认</x:v>
      </x:c>
      <x:c r="S585" s="9" t="n">
        <x:v>180</x:v>
      </x:c>
      <x:c r="T585" s="9" t="str">
        <x:v>c25ed77c53c7c5cfcf728778a0e9b297d8689503f62756a939cbd534ca9b587a</x:v>
      </x:c>
      <x:c r="U585" s="9" t="str">
        <x:v>W_SKIRTS_AVGPAID_1700_1800_ANNUAL2026</x:v>
      </x:c>
      <x:c r="V585" s="9" t="str">
        <x:v>W_SKIRTS_AVGPAID_1700_1800_ANNUAL2026.xlsx / 默认 / 第180行 / SHA256 c25ed77c53c7c5cfcf728778a0e9b297d8689503f62756a939cbd534ca9b587a</x:v>
      </x:c>
    </x:row>
    <x:row r="586" ht="58" customHeight="1">
      <x:c r="A586" s="23" t="str">
        <x:v>947471062258</x:v>
      </x:c>
      <x:c r="B586" s="22"/>
      <x:c r="C586" s="22"/>
      <x:c r="D586" s="22"/>
      <x:c r="E586" s="9" t="str">
        <x:v>裙长未明确</x:v>
      </x:c>
      <x:c r="F586" s="9" t="str">
        <x:v>裙装</x:v>
      </x:c>
      <x:c r="G586" s="9" t="str">
        <x:v>半身裙</x:v>
      </x:c>
      <x:c r="H586" s="9" t="str">
        <x:v>女</x:v>
      </x:c>
      <x:c r="I586" s="9" t="str">
        <x:v>时尚洛可可荷叶蛋糕裙女</x:v>
      </x:c>
      <x:c r="J586" s="9" t="str">
        <x:v>LE FAME</x:v>
      </x:c>
      <x:c r="K586" s="24" t="n">
        <x:v>1300.53</x:v>
      </x:c>
      <x:c r="L586" s="25" t="e">
        <x:f>HYPERLINK("https://item.taobao.com/item.htm?id=947471062258","打开商品")</x:f>
        <x:v>HYPERLINK is not implemented. linkLocation=https://item.taobao.com/item.htm?id=947471062258, friendlyName=打开商品</x:v>
      </x:c>
      <x:c r="M586" s="25" t="e">
        <x:f>HYPERLINK("https://data.zhiyitech.cn/itemDetail/overview/base?itemId=947471062258","打开知衣")</x:f>
        <x:v>HYPERLINK is not implemented. linkLocation=https://data.zhiyitech.cn/itemDetail/overview/base?itemId=947471062258, friendlyName=打开知衣</x:v>
      </x:c>
      <x:c r="N586" s="25" t="e">
        <x:f>HYPERLINK("https://img.alicdn.com/bao/uploaded/i1/3300138435/O1CN01FxWfCjU2NMG2vH2e_!!3300138435.jpg","查看主图")</x:f>
        <x:v>HYPERLINK is not implemented. linkLocation=https://img.alicdn.com/bao/uploaded/i1/3300138435/O1CN01FxWfCjU2NMG2vH2e_!!3300138435.jpg, friendlyName=查看主图</x:v>
      </x:c>
      <x:c r="O586" s="9" t="str">
        <x:v>标题及既有类目语义复核；时尚洛可可荷叶蛋糕裙女；原类目及标题已能确认半身裙；展示使用已知大类，未知裙长下沉到结构字段，不强猜长短。</x:v>
      </x:c>
      <x:c r="P586" s="9" t="str">
        <x:v>普通男女装</x:v>
      </x:c>
      <x:c r="Q586" s="9" t="str">
        <x:v>W_SKIRTS_AVGPAID_1300_1400_ANNUAL2026.xlsx</x:v>
      </x:c>
      <x:c r="R586" s="9" t="str">
        <x:v>默认</x:v>
      </x:c>
      <x:c r="S586" s="9" t="n">
        <x:v>28</x:v>
      </x:c>
      <x:c r="T586" s="9" t="str">
        <x:v>bd4dae1e08e9eca7ddd0669235bf59107cdc418b9c2898fc16f36a7ab5748692</x:v>
      </x:c>
      <x:c r="U586" s="9" t="str">
        <x:v>W_SKIRTS_AVGPAID_1300_1400_ANNUAL2026</x:v>
      </x:c>
      <x:c r="V586" s="9" t="str">
        <x:v>W_SKIRTS_AVGPAID_1300_1400_ANNUAL2026.xlsx / 默认 / 第28行 / SHA256 bd4dae1e08e9eca7ddd0669235bf59107cdc418b9c2898fc16f36a7ab5748692</x:v>
      </x:c>
    </x:row>
    <x:row r="587" ht="58" customHeight="1">
      <x:c r="A587" s="23" t="str">
        <x:v>947473718221</x:v>
      </x:c>
      <x:c r="B587" s="22"/>
      <x:c r="C587" s="22"/>
      <x:c r="D587" s="22"/>
      <x:c r="E587" s="9" t="str">
        <x:v>裙长未明确</x:v>
      </x:c>
      <x:c r="F587" s="9" t="str">
        <x:v>裙装</x:v>
      </x:c>
      <x:c r="G587" s="9" t="str">
        <x:v>半身裙</x:v>
      </x:c>
      <x:c r="H587" s="9" t="str">
        <x:v>女</x:v>
      </x:c>
      <x:c r="I587" s="9" t="str">
        <x:v>时尚蕾丝绣花长半裙女</x:v>
      </x:c>
      <x:c r="J587" s="9" t="str">
        <x:v>LE FAME</x:v>
      </x:c>
      <x:c r="K587" s="24" t="n">
        <x:v>1592.96</x:v>
      </x:c>
      <x:c r="L587" s="25" t="e">
        <x:f>HYPERLINK("https://item.taobao.com/item.htm?id=947473718221","打开商品")</x:f>
        <x:v>HYPERLINK is not implemented. linkLocation=https://item.taobao.com/item.htm?id=947473718221, friendlyName=打开商品</x:v>
      </x:c>
      <x:c r="M587" s="25" t="e">
        <x:f>HYPERLINK("https://data.zhiyitech.cn/itemDetail/overview/base?itemId=947473718221","打开知衣")</x:f>
        <x:v>HYPERLINK is not implemented. linkLocation=https://data.zhiyitech.cn/itemDetail/overview/base?itemId=947473718221, friendlyName=打开知衣</x:v>
      </x:c>
      <x:c r="N587" s="25" t="e">
        <x:f>HYPERLINK("https://img.alicdn.com/bao/uploaded/i3/3300138435/O1CN01XiOPSLhhw6E2vH2e_!!3300138435.jpg","查看主图")</x:f>
        <x:v>HYPERLINK is not implemented. linkLocation=https://img.alicdn.com/bao/uploaded/i3/3300138435/O1CN01XiOPSLhhw6E2vH2e_!!3300138435.jpg, friendlyName=查看主图</x:v>
      </x:c>
      <x:c r="O587" s="9" t="str">
        <x:v>标题及既有类目语义复核；时尚蕾丝绣花长半裙女；原类目及标题已能确认半身裙；展示使用已知大类，未知裙长下沉到结构字段，不强猜长短。</x:v>
      </x:c>
      <x:c r="P587" s="9" t="str">
        <x:v>普通男女装</x:v>
      </x:c>
      <x:c r="Q587" s="9" t="str">
        <x:v>W_SKIRTS_AVGPAID_1500_1600_ANNUAL2026.xlsx</x:v>
      </x:c>
      <x:c r="R587" s="9" t="str">
        <x:v>默认</x:v>
      </x:c>
      <x:c r="S587" s="9" t="n">
        <x:v>54</x:v>
      </x:c>
      <x:c r="T587" s="9" t="str">
        <x:v>deede8b56943df4f914be45dba170f12e69064023d6ef0e88dbde1764f6ba23e</x:v>
      </x:c>
      <x:c r="U587" s="9" t="str">
        <x:v>W_SKIRTS_AVGPAID_1500_1600_ANNUAL2026</x:v>
      </x:c>
      <x:c r="V587" s="9" t="str">
        <x:v>W_SKIRTS_AVGPAID_1500_1600_ANNUAL2026.xlsx / 默认 / 第54行 / SHA256 deede8b56943df4f914be45dba170f12e69064023d6ef0e88dbde1764f6ba23e</x:v>
      </x:c>
    </x:row>
    <x:row r="588" ht="58" customHeight="1">
      <x:c r="A588" s="23" t="str">
        <x:v>948502581876</x:v>
      </x:c>
      <x:c r="B588" s="22"/>
      <x:c r="C588" s="22"/>
      <x:c r="D588" s="22"/>
      <x:c r="E588" s="9" t="str">
        <x:v>裙长未明确</x:v>
      </x:c>
      <x:c r="F588" s="9" t="str">
        <x:v>裙装</x:v>
      </x:c>
      <x:c r="G588" s="9" t="str">
        <x:v>半身裙</x:v>
      </x:c>
      <x:c r="H588" s="9" t="str">
        <x:v>女</x:v>
      </x:c>
      <x:c r="I588" s="9" t="str">
        <x:v>时尚宫廷风丝绒短半裙</x:v>
      </x:c>
      <x:c r="J588" s="9" t="str">
        <x:v>LE FAME</x:v>
      </x:c>
      <x:c r="K588" s="24" t="n">
        <x:v>1527.51</x:v>
      </x:c>
      <x:c r="L588" s="25" t="e">
        <x:f>HYPERLINK("https://item.taobao.com/item.htm?id=948502581876","打开商品")</x:f>
        <x:v>HYPERLINK is not implemented. linkLocation=https://item.taobao.com/item.htm?id=948502581876, friendlyName=打开商品</x:v>
      </x:c>
      <x:c r="M588" s="25" t="e">
        <x:f>HYPERLINK("https://data.zhiyitech.cn/itemDetail/overview/base?itemId=948502581876","打开知衣")</x:f>
        <x:v>HYPERLINK is not implemented. linkLocation=https://data.zhiyitech.cn/itemDetail/overview/base?itemId=948502581876, friendlyName=打开知衣</x:v>
      </x:c>
      <x:c r="N588" s="25" t="e">
        <x:f>HYPERLINK("https://img.alicdn.com/bao/uploaded/i2/3300138435/O1CN01hEp1MMlVuVD2vH2e_!!3300138435.jpg","查看主图")</x:f>
        <x:v>HYPERLINK is not implemented. linkLocation=https://img.alicdn.com/bao/uploaded/i2/3300138435/O1CN01hEp1MMlVuVD2vH2e_!!3300138435.jpg, friendlyName=查看主图</x:v>
      </x:c>
      <x:c r="O588" s="9" t="str">
        <x:v>标题及既有类目语义复核；时尚宫廷风丝绒短半裙；原类目及标题已能确认半身裙；展示使用已知大类，未知裙长下沉到结构字段，不强猜长短。</x:v>
      </x:c>
      <x:c r="P588" s="9" t="str">
        <x:v>普通男女装</x:v>
      </x:c>
      <x:c r="Q588" s="9" t="str">
        <x:v>W_SKIRTS_AVGPAID_1500_1600_ANNUAL2026.xlsx</x:v>
      </x:c>
      <x:c r="R588" s="9" t="str">
        <x:v>默认</x:v>
      </x:c>
      <x:c r="S588" s="9" t="n">
        <x:v>327</x:v>
      </x:c>
      <x:c r="T588" s="9" t="str">
        <x:v>deede8b56943df4f914be45dba170f12e69064023d6ef0e88dbde1764f6ba23e</x:v>
      </x:c>
      <x:c r="U588" s="9" t="str">
        <x:v>W_SKIRTS_AVGPAID_1500_1600_ANNUAL2026</x:v>
      </x:c>
      <x:c r="V588" s="9" t="str">
        <x:v>W_SKIRTS_AVGPAID_1500_1600_ANNUAL2026.xlsx / 默认 / 第327行 / SHA256 deede8b56943df4f914be45dba170f12e69064023d6ef0e88dbde1764f6ba23e</x:v>
      </x:c>
    </x:row>
    <x:row r="589" ht="58" customHeight="1">
      <x:c r="A589" s="23" t="str">
        <x:v>963012350664</x:v>
      </x:c>
      <x:c r="B589" s="22"/>
      <x:c r="C589" s="22"/>
      <x:c r="D589" s="22"/>
      <x:c r="E589" s="9" t="str">
        <x:v>裙长未明确</x:v>
      </x:c>
      <x:c r="F589" s="9" t="str">
        <x:v>裙装</x:v>
      </x:c>
      <x:c r="G589" s="9" t="str">
        <x:v>半身裙</x:v>
      </x:c>
      <x:c r="H589" s="9" t="str">
        <x:v>女</x:v>
      </x:c>
      <x:c r="I589" s="9" t="str">
        <x:v>lefame拉飞姆春秋高级重工斜向荷叶边H型包臀裙小A裙女</x:v>
      </x:c>
      <x:c r="J589" s="9" t="str">
        <x:v>LE FAME</x:v>
      </x:c>
      <x:c r="K589" s="24" t="n">
        <x:v>1343.36</x:v>
      </x:c>
      <x:c r="L589" s="25" t="e">
        <x:f>HYPERLINK("https://item.taobao.com/item.htm?id=963012350664","打开商品")</x:f>
        <x:v>HYPERLINK is not implemented. linkLocation=https://item.taobao.com/item.htm?id=963012350664, friendlyName=打开商品</x:v>
      </x:c>
      <x:c r="M589" s="25" t="e">
        <x:f>HYPERLINK("https://data.zhiyitech.cn/itemDetail/overview/base?itemId=963012350664","打开知衣")</x:f>
        <x:v>HYPERLINK is not implemented. linkLocation=https://data.zhiyitech.cn/itemDetail/overview/base?itemId=963012350664, friendlyName=打开知衣</x:v>
      </x:c>
      <x:c r="N589" s="25" t="e">
        <x:f>HYPERLINK("https://img.alicdn.com/bao/uploaded/i4/3300138435/O1CN018I6JY2m5B6F2vH2e_!!3300138435.jpg","查看主图")</x:f>
        <x:v>HYPERLINK is not implemented. linkLocation=https://img.alicdn.com/bao/uploaded/i4/3300138435/O1CN018I6JY2m5B6F2vH2e_!!3300138435.jpg, friendlyName=查看主图</x:v>
      </x:c>
      <x:c r="O589" s="9" t="str">
        <x:v>标题及既有类目语义复核；lefame拉飞姆春秋高级重工斜向荷叶边H型包臀裙小A裙女；原类目及标题已能确认半身裙；展示使用已知大类，未知裙长下沉到结构字段，不强猜长短。</x:v>
      </x:c>
      <x:c r="P589" s="9" t="str">
        <x:v>普通男女装</x:v>
      </x:c>
      <x:c r="Q589" s="9" t="str">
        <x:v>W_SKIRTS_AVGPAID_1300_1400_ANNUAL2026.xlsx</x:v>
      </x:c>
      <x:c r="R589" s="9" t="str">
        <x:v>默认</x:v>
      </x:c>
      <x:c r="S589" s="9" t="n">
        <x:v>380</x:v>
      </x:c>
      <x:c r="T589" s="9" t="str">
        <x:v>bd4dae1e08e9eca7ddd0669235bf59107cdc418b9c2898fc16f36a7ab5748692</x:v>
      </x:c>
      <x:c r="U589" s="9" t="str">
        <x:v>W_SKIRTS_AVGPAID_1300_1400_ANNUAL2026</x:v>
      </x:c>
      <x:c r="V589" s="9" t="str">
        <x:v>W_SKIRTS_AVGPAID_1300_1400_ANNUAL2026.xlsx / 默认 / 第380行 / SHA256 bd4dae1e08e9eca7ddd0669235bf59107cdc418b9c2898fc16f36a7ab5748692</x:v>
      </x:c>
    </x:row>
    <x:row r="590" ht="58" customHeight="1">
      <x:c r="A590" s="23" t="str">
        <x:v>968500782526</x:v>
      </x:c>
      <x:c r="B590" s="22"/>
      <x:c r="C590" s="22"/>
      <x:c r="D590" s="22"/>
      <x:c r="E590" s="9" t="str">
        <x:v>裙长未明确</x:v>
      </x:c>
      <x:c r="F590" s="9" t="str">
        <x:v>裙装</x:v>
      </x:c>
      <x:c r="G590" s="9" t="str">
        <x:v>半身裙</x:v>
      </x:c>
      <x:c r="H590" s="9" t="str">
        <x:v>女</x:v>
      </x:c>
      <x:c r="I590" s="9" t="str">
        <x:v>【Angelababy同款】lefame拉飞姆春秋黑丝绒蝴蝶结装饰半裙</x:v>
      </x:c>
      <x:c r="J590" s="9" t="str">
        <x:v>LE FAME</x:v>
      </x:c>
      <x:c r="K590" s="24" t="n">
        <x:v>1567.9</x:v>
      </x:c>
      <x:c r="L590" s="25" t="e">
        <x:f>HYPERLINK("https://item.taobao.com/item.htm?id=968500782526","打开商品")</x:f>
        <x:v>HYPERLINK is not implemented. linkLocation=https://item.taobao.com/item.htm?id=968500782526, friendlyName=打开商品</x:v>
      </x:c>
      <x:c r="M590" s="25" t="e">
        <x:f>HYPERLINK("https://data.zhiyitech.cn/itemDetail/overview/base?itemId=968500782526","打开知衣")</x:f>
        <x:v>HYPERLINK is not implemented. linkLocation=https://data.zhiyitech.cn/itemDetail/overview/base?itemId=968500782526, friendlyName=打开知衣</x:v>
      </x:c>
      <x:c r="N590" s="25" t="e">
        <x:f>HYPERLINK("https://img.alicdn.com/bao/uploaded/i1/3300138435/O1CN01O2LSx08ojlB2vH2e_!!3300138435.jpg","查看主图")</x:f>
        <x:v>HYPERLINK is not implemented. linkLocation=https://img.alicdn.com/bao/uploaded/i1/3300138435/O1CN01O2LSx08ojlB2vH2e_!!3300138435.jpg, friendlyName=查看主图</x:v>
      </x:c>
      <x:c r="O590" s="9" t="str">
        <x:v>标题及既有类目语义复核；【Angelababy同款】lefame拉飞姆春秋黑丝绒蝴蝶结装饰半裙；原类目及标题已能确认半身裙；展示使用已知大类，未知裙长下沉到结构字段，不强猜长短。</x:v>
      </x:c>
      <x:c r="P590" s="9" t="str">
        <x:v>普通男女装</x:v>
      </x:c>
      <x:c r="Q590" s="9" t="str">
        <x:v>W_SKIRTS_AVGPAID_1500_1600_ANNUAL2026.xlsx</x:v>
      </x:c>
      <x:c r="R590" s="9" t="str">
        <x:v>默认</x:v>
      </x:c>
      <x:c r="S590" s="9" t="n">
        <x:v>168</x:v>
      </x:c>
      <x:c r="T590" s="9" t="str">
        <x:v>deede8b56943df4f914be45dba170f12e69064023d6ef0e88dbde1764f6ba23e</x:v>
      </x:c>
      <x:c r="U590" s="9" t="str">
        <x:v>W_SKIRTS_AVGPAID_1500_1600_ANNUAL2026</x:v>
      </x:c>
      <x:c r="V590" s="9" t="str">
        <x:v>W_SKIRTS_AVGPAID_1500_1600_ANNUAL2026.xlsx / 默认 / 第168行 / SHA256 deede8b56943df4f914be45dba170f12e69064023d6ef0e88dbde1764f6ba23e</x:v>
      </x:c>
    </x:row>
    <x:row r="591" ht="58" customHeight="1">
      <x:c r="A591" s="23" t="str">
        <x:v>975181501096</x:v>
      </x:c>
      <x:c r="B591" s="22"/>
      <x:c r="C591" s="22"/>
      <x:c r="D591" s="22"/>
      <x:c r="E591" s="9" t="str">
        <x:v>裙长未明确</x:v>
      </x:c>
      <x:c r="F591" s="9" t="str">
        <x:v>裙装</x:v>
      </x:c>
      <x:c r="G591" s="9" t="str">
        <x:v>半身裙</x:v>
      </x:c>
      <x:c r="H591" s="9" t="str">
        <x:v>女</x:v>
      </x:c>
      <x:c r="I591" s="9" t="str">
        <x:v>lefame拉飞姆立体丝绒绣花波嬉风摩登千金长半裙女</x:v>
      </x:c>
      <x:c r="J591" s="9" t="str">
        <x:v>LE FAME</x:v>
      </x:c>
      <x:c r="K591" s="24" t="n">
        <x:v>1732.73</x:v>
      </x:c>
      <x:c r="L591" s="25" t="e">
        <x:f>HYPERLINK("https://item.taobao.com/item.htm?id=975181501096","打开商品")</x:f>
        <x:v>HYPERLINK is not implemented. linkLocation=https://item.taobao.com/item.htm?id=975181501096, friendlyName=打开商品</x:v>
      </x:c>
      <x:c r="M591" s="25" t="e">
        <x:f>HYPERLINK("https://data.zhiyitech.cn/itemDetail/overview/base?itemId=975181501096","打开知衣")</x:f>
        <x:v>HYPERLINK is not implemented. linkLocation=https://data.zhiyitech.cn/itemDetail/overview/base?itemId=975181501096, friendlyName=打开知衣</x:v>
      </x:c>
      <x:c r="N591" s="25" t="e">
        <x:f>HYPERLINK("https://img.alicdn.com/bao/uploaded/i4/3300138435/O1CN01cJIatei7EeF2vH2e_!!3300138435.jpg","查看主图")</x:f>
        <x:v>HYPERLINK is not implemented. linkLocation=https://img.alicdn.com/bao/uploaded/i4/3300138435/O1CN01cJIatei7EeF2vH2e_!!3300138435.jpg, friendlyName=查看主图</x:v>
      </x:c>
      <x:c r="O591" s="9" t="str">
        <x:v>标题及既有类目语义复核；lefame拉飞姆立体丝绒绣花波嬉风摩登千金长半裙女；原类目及标题已能确认半身裙；展示使用已知大类，未知裙长下沉到结构字段，不强猜长短。</x:v>
      </x:c>
      <x:c r="P591" s="9" t="str">
        <x:v>普通男女装</x:v>
      </x:c>
      <x:c r="Q591" s="9" t="str">
        <x:v>W_SKIRTS_AVGPAID_1700_1800_ANNUAL2026.xlsx</x:v>
      </x:c>
      <x:c r="R591" s="9" t="str">
        <x:v>默认</x:v>
      </x:c>
      <x:c r="S591" s="9" t="n">
        <x:v>208</x:v>
      </x:c>
      <x:c r="T591" s="9" t="str">
        <x:v>c25ed77c53c7c5cfcf728778a0e9b297d8689503f62756a939cbd534ca9b587a</x:v>
      </x:c>
      <x:c r="U591" s="9" t="str">
        <x:v>W_SKIRTS_AVGPAID_1700_1800_ANNUAL2026</x:v>
      </x:c>
      <x:c r="V591" s="9" t="str">
        <x:v>W_SKIRTS_AVGPAID_1700_1800_ANNUAL2026.xlsx / 默认 / 第208行 / SHA256 c25ed77c53c7c5cfcf728778a0e9b297d8689503f62756a939cbd534ca9b587a</x:v>
      </x:c>
    </x:row>
    <x:row r="592" ht="58" customHeight="1">
      <x:c r="A592" s="23" t="str">
        <x:v>975188613933</x:v>
      </x:c>
      <x:c r="B592" s="22"/>
      <x:c r="C592" s="22"/>
      <x:c r="D592" s="22"/>
      <x:c r="E592" s="9" t="str">
        <x:v>裙长未明确</x:v>
      </x:c>
      <x:c r="F592" s="9" t="str">
        <x:v>裙装</x:v>
      </x:c>
      <x:c r="G592" s="9" t="str">
        <x:v>半身裙</x:v>
      </x:c>
      <x:c r="H592" s="9" t="str">
        <x:v>女</x:v>
      </x:c>
      <x:c r="I592" s="9" t="str">
        <x:v>lefame拉飞姆时尚小香风黑白格珍珠挂链格纹半裙女</x:v>
      </x:c>
      <x:c r="J592" s="9" t="str">
        <x:v>LE FAME</x:v>
      </x:c>
      <x:c r="K592" s="24" t="n">
        <x:v>1328.95</x:v>
      </x:c>
      <x:c r="L592" s="25" t="e">
        <x:f>HYPERLINK("https://item.taobao.com/item.htm?id=975188613933","打开商品")</x:f>
        <x:v>HYPERLINK is not implemented. linkLocation=https://item.taobao.com/item.htm?id=975188613933, friendlyName=打开商品</x:v>
      </x:c>
      <x:c r="M592" s="25" t="e">
        <x:f>HYPERLINK("https://data.zhiyitech.cn/itemDetail/overview/base?itemId=975188613933","打开知衣")</x:f>
        <x:v>HYPERLINK is not implemented. linkLocation=https://data.zhiyitech.cn/itemDetail/overview/base?itemId=975188613933, friendlyName=打开知衣</x:v>
      </x:c>
      <x:c r="N592" s="25" t="e">
        <x:f>HYPERLINK("https://img.alicdn.com/bao/uploaded/i4/3300138435/O1CN01znn026MtxtE2vH2e_!!3300138435.jpg","查看主图")</x:f>
        <x:v>HYPERLINK is not implemented. linkLocation=https://img.alicdn.com/bao/uploaded/i4/3300138435/O1CN01znn026MtxtE2vH2e_!!3300138435.jpg, friendlyName=查看主图</x:v>
      </x:c>
      <x:c r="O592" s="9" t="str">
        <x:v>标题及既有类目语义复核；lefame拉飞姆时尚小香风黑白格珍珠挂链格纹半裙女；原类目及标题已能确认半身裙；展示使用已知大类，未知裙长下沉到结构字段，不强猜长短。</x:v>
      </x:c>
      <x:c r="P592" s="9" t="str">
        <x:v>普通男女装</x:v>
      </x:c>
      <x:c r="Q592" s="9" t="str">
        <x:v>W_SKIRTS_AVGPAID_1300_1400_ANNUAL2026.xlsx</x:v>
      </x:c>
      <x:c r="R592" s="9" t="str">
        <x:v>默认</x:v>
      </x:c>
      <x:c r="S592" s="9" t="n">
        <x:v>360</x:v>
      </x:c>
      <x:c r="T592" s="9" t="str">
        <x:v>bd4dae1e08e9eca7ddd0669235bf59107cdc418b9c2898fc16f36a7ab5748692</x:v>
      </x:c>
      <x:c r="U592" s="9" t="str">
        <x:v>W_SKIRTS_AVGPAID_1300_1400_ANNUAL2026</x:v>
      </x:c>
      <x:c r="V592" s="9" t="str">
        <x:v>W_SKIRTS_AVGPAID_1300_1400_ANNUAL2026.xlsx / 默认 / 第360行 / SHA256 bd4dae1e08e9eca7ddd0669235bf59107cdc418b9c2898fc16f36a7ab5748692</x:v>
      </x:c>
    </x:row>
    <x:row r="593" ht="58" customHeight="1">
      <x:c r="A593" s="23" t="str">
        <x:v>975464060532</x:v>
      </x:c>
      <x:c r="B593" s="22"/>
      <x:c r="C593" s="22"/>
      <x:c r="D593" s="22"/>
      <x:c r="E593" s="9" t="str">
        <x:v>裙长未明确</x:v>
      </x:c>
      <x:c r="F593" s="9" t="str">
        <x:v>裙装</x:v>
      </x:c>
      <x:c r="G593" s="9" t="str">
        <x:v>半身裙</x:v>
      </x:c>
      <x:c r="H593" s="9" t="str">
        <x:v>女</x:v>
      </x:c>
      <x:c r="I593" s="9" t="str">
        <x:v>【裴珠泫同款】lefame拉飞姆法式蝴蝶结绣花公主裙蛋糕裙半身裙女</x:v>
      </x:c>
      <x:c r="J593" s="9" t="str">
        <x:v>LE FAME</x:v>
      </x:c>
      <x:c r="K593" s="24" t="n">
        <x:v>1575.01</x:v>
      </x:c>
      <x:c r="L593" s="25" t="e">
        <x:f>HYPERLINK("https://item.taobao.com/item.htm?id=975464060532","打开商品")</x:f>
        <x:v>HYPERLINK is not implemented. linkLocation=https://item.taobao.com/item.htm?id=975464060532, friendlyName=打开商品</x:v>
      </x:c>
      <x:c r="M593" s="25" t="e">
        <x:f>HYPERLINK("https://data.zhiyitech.cn/itemDetail/overview/base?itemId=975464060532","打开知衣")</x:f>
        <x:v>HYPERLINK is not implemented. linkLocation=https://data.zhiyitech.cn/itemDetail/overview/base?itemId=975464060532, friendlyName=打开知衣</x:v>
      </x:c>
      <x:c r="N593" s="25" t="e">
        <x:f>HYPERLINK("https://img.alicdn.com/bao/uploaded/i3/3300138435/O1CN01N3VBa3UHYJK2vH2e_!!3300138435.jpg","查看主图")</x:f>
        <x:v>HYPERLINK is not implemented. linkLocation=https://img.alicdn.com/bao/uploaded/i3/3300138435/O1CN01N3VBa3UHYJK2vH2e_!!3300138435.jpg, friendlyName=查看主图</x:v>
      </x:c>
      <x:c r="O593" s="9" t="str">
        <x:v>标题及既有类目语义复核；【裴珠泫同款】lefame拉飞姆法式蝴蝶结绣花公主裙蛋糕裙半身裙女；原类目及标题已能确认半身裙；展示使用已知大类，未知裙长下沉到结构字段，不强猜长短。</x:v>
      </x:c>
      <x:c r="P593" s="9" t="str">
        <x:v>普通男女装</x:v>
      </x:c>
      <x:c r="Q593" s="9" t="str">
        <x:v>W_SKIRTS_AVGPAID_1500_1600_ANNUAL2026.xlsx</x:v>
      </x:c>
      <x:c r="R593" s="9" t="str">
        <x:v>默认</x:v>
      </x:c>
      <x:c r="S593" s="9" t="n">
        <x:v>7</x:v>
      </x:c>
      <x:c r="T593" s="9" t="str">
        <x:v>deede8b56943df4f914be45dba170f12e69064023d6ef0e88dbde1764f6ba23e</x:v>
      </x:c>
      <x:c r="U593" s="9" t="str">
        <x:v>W_SKIRTS_AVGPAID_1500_1600_ANNUAL2026</x:v>
      </x:c>
      <x:c r="V593" s="9" t="str">
        <x:v>W_SKIRTS_AVGPAID_1500_1600_ANNUAL2026.xlsx / 默认 / 第7行 / SHA256 deede8b56943df4f914be45dba170f12e69064023d6ef0e88dbde1764f6ba23e</x:v>
      </x:c>
    </x:row>
    <x:row r="594" ht="58" customHeight="1">
      <x:c r="A594" s="23" t="str">
        <x:v>975827464312</x:v>
      </x:c>
      <x:c r="B594" s="22"/>
      <x:c r="C594" s="22"/>
      <x:c r="D594" s="22"/>
      <x:c r="E594" s="9" t="str">
        <x:v>裙长未明确</x:v>
      </x:c>
      <x:c r="F594" s="9" t="str">
        <x:v>裙装</x:v>
      </x:c>
      <x:c r="G594" s="9" t="str">
        <x:v>半身裙</x:v>
      </x:c>
      <x:c r="H594" s="9" t="str">
        <x:v>女</x:v>
      </x:c>
      <x:c r="I594" s="9" t="str">
        <x:v>lefame拉飞姆潮流腰头打揽呢料低腰A型廓形短半裙女</x:v>
      </x:c>
      <x:c r="J594" s="9" t="str">
        <x:v>LE FAME</x:v>
      </x:c>
      <x:c r="K594" s="24" t="n">
        <x:v>1385.6</x:v>
      </x:c>
      <x:c r="L594" s="25" t="e">
        <x:f>HYPERLINK("https://item.taobao.com/item.htm?id=975827464312","打开商品")</x:f>
        <x:v>HYPERLINK is not implemented. linkLocation=https://item.taobao.com/item.htm?id=975827464312, friendlyName=打开商品</x:v>
      </x:c>
      <x:c r="M594" s="25" t="e">
        <x:f>HYPERLINK("https://data.zhiyitech.cn/itemDetail/overview/base?itemId=975827464312","打开知衣")</x:f>
        <x:v>HYPERLINK is not implemented. linkLocation=https://data.zhiyitech.cn/itemDetail/overview/base?itemId=975827464312, friendlyName=打开知衣</x:v>
      </x:c>
      <x:c r="N594" s="25" t="e">
        <x:f>HYPERLINK("https://img.alicdn.com/bao/uploaded/i4/3300138435/O1CN01qAbdKYG5zfK2vH2e_!!3300138435.jpg","查看主图")</x:f>
        <x:v>HYPERLINK is not implemented. linkLocation=https://img.alicdn.com/bao/uploaded/i4/3300138435/O1CN01qAbdKYG5zfK2vH2e_!!3300138435.jpg, friendlyName=查看主图</x:v>
      </x:c>
      <x:c r="O594" s="9" t="str">
        <x:v>标题及既有类目语义复核；lefame拉飞姆潮流腰头打揽呢料低腰A型廓形短半裙女；原类目及标题已能确认半身裙；展示使用已知大类，未知裙长下沉到结构字段，不强猜长短。</x:v>
      </x:c>
      <x:c r="P594" s="9" t="str">
        <x:v>普通男女装</x:v>
      </x:c>
      <x:c r="Q594" s="9" t="str">
        <x:v>W_SKIRTS_AVGPAID_1300_1400_ANNUAL2026.xlsx</x:v>
      </x:c>
      <x:c r="R594" s="9" t="str">
        <x:v>默认</x:v>
      </x:c>
      <x:c r="S594" s="9" t="n">
        <x:v>55</x:v>
      </x:c>
      <x:c r="T594" s="9" t="str">
        <x:v>bd4dae1e08e9eca7ddd0669235bf59107cdc418b9c2898fc16f36a7ab5748692</x:v>
      </x:c>
      <x:c r="U594" s="9" t="str">
        <x:v>W_SKIRTS_AVGPAID_1300_1400_ANNUAL2026</x:v>
      </x:c>
      <x:c r="V594" s="9" t="str">
        <x:v>W_SKIRTS_AVGPAID_1300_1400_ANNUAL2026.xlsx / 默认 / 第55行 / SHA256 bd4dae1e08e9eca7ddd0669235bf59107cdc418b9c2898fc16f36a7ab5748692</x:v>
      </x:c>
    </x:row>
    <x:row r="595" ht="58" customHeight="1">
      <x:c r="A595" s="23" t="str">
        <x:v>979557775875</x:v>
      </x:c>
      <x:c r="B595" s="22"/>
      <x:c r="C595" s="22"/>
      <x:c r="D595" s="22"/>
      <x:c r="E595" s="9" t="str">
        <x:v>裙长未明确</x:v>
      </x:c>
      <x:c r="F595" s="9" t="str">
        <x:v>裙装</x:v>
      </x:c>
      <x:c r="G595" s="9" t="str">
        <x:v>半身裙</x:v>
      </x:c>
      <x:c r="H595" s="9" t="str">
        <x:v>女</x:v>
      </x:c>
      <x:c r="I595" s="9" t="str">
        <x:v>【吴昕同款】lefame拉飞姆时尚蕾丝绣花半裙</x:v>
      </x:c>
      <x:c r="J595" s="9" t="str">
        <x:v>LE FAME</x:v>
      </x:c>
      <x:c r="K595" s="24" t="n">
        <x:v>1593.38</x:v>
      </x:c>
      <x:c r="L595" s="25" t="e">
        <x:f>HYPERLINK("https://item.taobao.com/item.htm?id=979557775875","打开商品")</x:f>
        <x:v>HYPERLINK is not implemented. linkLocation=https://item.taobao.com/item.htm?id=979557775875, friendlyName=打开商品</x:v>
      </x:c>
      <x:c r="M595" s="25" t="e">
        <x:f>HYPERLINK("https://data.zhiyitech.cn/itemDetail/overview/base?itemId=979557775875","打开知衣")</x:f>
        <x:v>HYPERLINK is not implemented. linkLocation=https://data.zhiyitech.cn/itemDetail/overview/base?itemId=979557775875, friendlyName=打开知衣</x:v>
      </x:c>
      <x:c r="N595" s="25" t="e">
        <x:f>HYPERLINK("https://img.alicdn.com/bao/uploaded/i1/3300138435/O1CN01OzMCalhzGyB2vH2e_!!3300138435.jpg","查看主图")</x:f>
        <x:v>HYPERLINK is not implemented. linkLocation=https://img.alicdn.com/bao/uploaded/i1/3300138435/O1CN01OzMCalhzGyB2vH2e_!!3300138435.jpg, friendlyName=查看主图</x:v>
      </x:c>
      <x:c r="O595" s="9" t="str">
        <x:v>标题及既有类目语义复核；【吴昕同款】lefame拉飞姆时尚蕾丝绣花半裙；原类目及标题已能确认半身裙；展示使用已知大类，未知裙长下沉到结构字段，不强猜长短。</x:v>
      </x:c>
      <x:c r="P595" s="9" t="str">
        <x:v>普通男女装</x:v>
      </x:c>
      <x:c r="Q595" s="9" t="str">
        <x:v>W_SKIRTS_AVGPAID_1500_1600_ANNUAL2026.xlsx</x:v>
      </x:c>
      <x:c r="R595" s="9" t="str">
        <x:v>默认</x:v>
      </x:c>
      <x:c r="S595" s="9" t="n">
        <x:v>122</x:v>
      </x:c>
      <x:c r="T595" s="9" t="str">
        <x:v>deede8b56943df4f914be45dba170f12e69064023d6ef0e88dbde1764f6ba23e</x:v>
      </x:c>
      <x:c r="U595" s="9" t="str">
        <x:v>W_SKIRTS_AVGPAID_1500_1600_ANNUAL2026</x:v>
      </x:c>
      <x:c r="V595" s="9" t="str">
        <x:v>W_SKIRTS_AVGPAID_1500_1600_ANNUAL2026.xlsx / 默认 / 第122行 / SHA256 deede8b56943df4f914be45dba170f12e69064023d6ef0e88dbde1764f6ba23e</x:v>
      </x:c>
    </x:row>
    <x:row r="596" ht="58" customHeight="1">
      <x:c r="A596" s="23" t="str">
        <x:v>988339242338</x:v>
      </x:c>
      <x:c r="B596" s="22"/>
      <x:c r="C596" s="22"/>
      <x:c r="D596" s="22"/>
      <x:c r="E596" s="9" t="str">
        <x:v>裙长未明确</x:v>
      </x:c>
      <x:c r="F596" s="9" t="str">
        <x:v>裙装</x:v>
      </x:c>
      <x:c r="G596" s="9" t="str">
        <x:v>半身裙</x:v>
      </x:c>
      <x:c r="H596" s="9" t="str">
        <x:v>女</x:v>
      </x:c>
      <x:c r="I596" s="9" t="str">
        <x:v>lefame拉飞姆时尚蝴蝶结装饰彩色千鸟格毛呢半身裙</x:v>
      </x:c>
      <x:c r="J596" s="9" t="str">
        <x:v>LE FAME</x:v>
      </x:c>
      <x:c r="K596" s="24" t="n">
        <x:v>1375.01</x:v>
      </x:c>
      <x:c r="L596" s="25" t="e">
        <x:f>HYPERLINK("https://item.taobao.com/item.htm?id=988339242338","打开商品")</x:f>
        <x:v>HYPERLINK is not implemented. linkLocation=https://item.taobao.com/item.htm?id=988339242338, friendlyName=打开商品</x:v>
      </x:c>
      <x:c r="M596" s="25" t="e">
        <x:f>HYPERLINK("https://data.zhiyitech.cn/itemDetail/overview/base?itemId=988339242338","打开知衣")</x:f>
        <x:v>HYPERLINK is not implemented. linkLocation=https://data.zhiyitech.cn/itemDetail/overview/base?itemId=988339242338, friendlyName=打开知衣</x:v>
      </x:c>
      <x:c r="N596" s="25" t="e">
        <x:f>HYPERLINK("https://img.alicdn.com/bao/uploaded/i1/3300138435/O1CN01yK5vp0CQCbC2vH2e_!!3300138435.jpg","查看主图")</x:f>
        <x:v>HYPERLINK is not implemented. linkLocation=https://img.alicdn.com/bao/uploaded/i1/3300138435/O1CN01yK5vp0CQCbC2vH2e_!!3300138435.jpg, friendlyName=查看主图</x:v>
      </x:c>
      <x:c r="O596" s="9" t="str">
        <x:v>标题及既有类目语义复核；lefame拉飞姆时尚蝴蝶结装饰彩色千鸟格毛呢半身裙；原类目及标题已能确认半身裙；展示使用已知大类，未知裙长下沉到结构字段，不强猜长短。</x:v>
      </x:c>
      <x:c r="P596" s="9" t="str">
        <x:v>普通男女装</x:v>
      </x:c>
      <x:c r="Q596" s="9" t="str">
        <x:v>W_SKIRTS_AVGPAID_1300_1400_ANNUAL2026.xlsx</x:v>
      </x:c>
      <x:c r="R596" s="9" t="str">
        <x:v>默认</x:v>
      </x:c>
      <x:c r="S596" s="9" t="n">
        <x:v>250</x:v>
      </x:c>
      <x:c r="T596" s="9" t="str">
        <x:v>bd4dae1e08e9eca7ddd0669235bf59107cdc418b9c2898fc16f36a7ab5748692</x:v>
      </x:c>
      <x:c r="U596" s="9" t="str">
        <x:v>W_SKIRTS_AVGPAID_1300_1400_ANNUAL2026</x:v>
      </x:c>
      <x:c r="V596" s="9" t="str">
        <x:v>W_SKIRTS_AVGPAID_1300_1400_ANNUAL2026.xlsx / 默认 / 第250行 / SHA256 bd4dae1e08e9eca7ddd0669235bf59107cdc418b9c2898fc16f36a7ab5748692</x:v>
      </x:c>
    </x:row>
    <x:row r="597" ht="58" customHeight="1">
      <x:c r="A597" s="23" t="str">
        <x:v>989095257999</x:v>
      </x:c>
      <x:c r="B597" s="22"/>
      <x:c r="C597" s="22"/>
      <x:c r="D597" s="22"/>
      <x:c r="E597" s="9" t="str">
        <x:v>裙长未明确</x:v>
      </x:c>
      <x:c r="F597" s="9" t="str">
        <x:v>裙装</x:v>
      </x:c>
      <x:c r="G597" s="9" t="str">
        <x:v>半身裙</x:v>
      </x:c>
      <x:c r="H597" s="9" t="str">
        <x:v>女</x:v>
      </x:c>
      <x:c r="I597" s="9" t="str">
        <x:v>lefame拉飞姆手工蝴蝶结A摆廓形绵羊毛毛呢短半身裙</x:v>
      </x:c>
      <x:c r="J597" s="9" t="str">
        <x:v>LE FAME</x:v>
      </x:c>
      <x:c r="K597" s="24" t="n">
        <x:v>1399.61</x:v>
      </x:c>
      <x:c r="L597" s="25" t="e">
        <x:f>HYPERLINK("https://item.taobao.com/item.htm?id=989095257999","打开商品")</x:f>
        <x:v>HYPERLINK is not implemented. linkLocation=https://item.taobao.com/item.htm?id=989095257999, friendlyName=打开商品</x:v>
      </x:c>
      <x:c r="M597" s="25" t="e">
        <x:f>HYPERLINK("https://data.zhiyitech.cn/itemDetail/overview/base?itemId=989095257999","打开知衣")</x:f>
        <x:v>HYPERLINK is not implemented. linkLocation=https://data.zhiyitech.cn/itemDetail/overview/base?itemId=989095257999, friendlyName=打开知衣</x:v>
      </x:c>
      <x:c r="N597" s="25" t="e">
        <x:f>HYPERLINK("https://img.alicdn.com/bao/uploaded/i1/3300138435/O1CN01LEG3iONJxII2vH2e_!!3300138435.jpg","查看主图")</x:f>
        <x:v>HYPERLINK is not implemented. linkLocation=https://img.alicdn.com/bao/uploaded/i1/3300138435/O1CN01LEG3iONJxII2vH2e_!!3300138435.jpg, friendlyName=查看主图</x:v>
      </x:c>
      <x:c r="O597" s="9" t="str">
        <x:v>标题及既有类目语义复核；lefame拉飞姆手工蝴蝶结A摆廓形绵羊毛毛呢短半身裙；原类目及标题已能确认半身裙；展示使用已知大类，未知裙长下沉到结构字段，不强猜长短。</x:v>
      </x:c>
      <x:c r="P597" s="9" t="str">
        <x:v>普通男女装</x:v>
      </x:c>
      <x:c r="Q597" s="9" t="str">
        <x:v>W_SKIRTS_AVGPAID_1300_1400_ANNUAL2026.xlsx</x:v>
      </x:c>
      <x:c r="R597" s="9" t="str">
        <x:v>默认</x:v>
      </x:c>
      <x:c r="S597" s="9" t="n">
        <x:v>434</x:v>
      </x:c>
      <x:c r="T597" s="9" t="str">
        <x:v>bd4dae1e08e9eca7ddd0669235bf59107cdc418b9c2898fc16f36a7ab5748692</x:v>
      </x:c>
      <x:c r="U597" s="9" t="str">
        <x:v>W_SKIRTS_AVGPAID_1300_1400_ANNUAL2026</x:v>
      </x:c>
      <x:c r="V597" s="9" t="str">
        <x:v>W_SKIRTS_AVGPAID_1300_1400_ANNUAL2026.xlsx / 默认 / 第434行 / SHA256 bd4dae1e08e9eca7ddd0669235bf59107cdc418b9c2898fc16f36a7ab5748692</x:v>
      </x:c>
    </x:row>
    <x:row r="598" ht="58" customHeight="1">
      <x:c r="A598" s="23" t="str">
        <x:v>998213193658</x:v>
      </x:c>
      <x:c r="B598" s="22"/>
      <x:c r="C598" s="22"/>
      <x:c r="D598" s="22"/>
      <x:c r="E598" s="9" t="str">
        <x:v>裙长未明确</x:v>
      </x:c>
      <x:c r="F598" s="9" t="str">
        <x:v>裙装</x:v>
      </x:c>
      <x:c r="G598" s="9" t="str">
        <x:v>半身裙</x:v>
      </x:c>
      <x:c r="H598" s="9" t="str">
        <x:v>女</x:v>
      </x:c>
      <x:c r="I598" s="9" t="str">
        <x:v>lefame拉飞姆2026春秋时尚藏蓝色学院风褶裥A字半裙百褶裙</x:v>
      </x:c>
      <x:c r="J598" s="9" t="str">
        <x:v>LE FAME</x:v>
      </x:c>
      <x:c r="K598" s="24" t="n">
        <x:v>1350.6</x:v>
      </x:c>
      <x:c r="L598" s="25" t="e">
        <x:f>HYPERLINK("https://item.taobao.com/item.htm?id=998213193658","打开商品")</x:f>
        <x:v>HYPERLINK is not implemented. linkLocation=https://item.taobao.com/item.htm?id=998213193658, friendlyName=打开商品</x:v>
      </x:c>
      <x:c r="M598" s="25" t="e">
        <x:f>HYPERLINK("https://data.zhiyitech.cn/itemDetail/overview/base?itemId=998213193658","打开知衣")</x:f>
        <x:v>HYPERLINK is not implemented. linkLocation=https://data.zhiyitech.cn/itemDetail/overview/base?itemId=998213193658, friendlyName=打开知衣</x:v>
      </x:c>
      <x:c r="N598" s="25" t="e">
        <x:f>HYPERLINK("https://img.alicdn.com/bao/uploaded/i1/3300138435/O1CN013mbvLWr8MEH2vH2e_!!3300138435.jpg","查看主图")</x:f>
        <x:v>HYPERLINK is not implemented. linkLocation=https://img.alicdn.com/bao/uploaded/i1/3300138435/O1CN013mbvLWr8MEH2vH2e_!!3300138435.jpg, friendlyName=查看主图</x:v>
      </x:c>
      <x:c r="O598" s="9" t="str">
        <x:v>标题及既有类目语义复核；lefame拉飞姆2026春秋时尚藏蓝色学院风褶裥A字半裙百褶裙；原类目及标题已能确认半身裙；展示使用已知大类，未知裙长下沉到结构字段，不强猜长短。</x:v>
      </x:c>
      <x:c r="P598" s="9" t="str">
        <x:v>普通男女装</x:v>
      </x:c>
      <x:c r="Q598" s="9" t="str">
        <x:v>W_SKIRTS_AVGPAID_1300_1400_ANNUAL2026.xlsx</x:v>
      </x:c>
      <x:c r="R598" s="9" t="str">
        <x:v>默认</x:v>
      </x:c>
      <x:c r="S598" s="9" t="n">
        <x:v>194</x:v>
      </x:c>
      <x:c r="T598" s="9" t="str">
        <x:v>bd4dae1e08e9eca7ddd0669235bf59107cdc418b9c2898fc16f36a7ab5748692</x:v>
      </x:c>
      <x:c r="U598" s="9" t="str">
        <x:v>W_SKIRTS_AVGPAID_1300_1400_ANNUAL2026</x:v>
      </x:c>
      <x:c r="V598" s="9" t="str">
        <x:v>W_SKIRTS_AVGPAID_1300_1400_ANNUAL2026.xlsx / 默认 / 第194行 / SHA256 bd4dae1e08e9eca7ddd0669235bf59107cdc418b9c2898fc16f36a7ab5748692</x:v>
      </x:c>
    </x:row>
    <x:row r="599" ht="58" customHeight="1">
      <x:c r="A599" s="23" t="str">
        <x:v>998834767400</x:v>
      </x:c>
      <x:c r="B599" s="22"/>
      <x:c r="C599" s="22"/>
      <x:c r="D599" s="22"/>
      <x:c r="E599" s="9" t="str">
        <x:v>裙长未明确</x:v>
      </x:c>
      <x:c r="F599" s="9" t="str">
        <x:v>裙装</x:v>
      </x:c>
      <x:c r="G599" s="9" t="str">
        <x:v>半身裙</x:v>
      </x:c>
      <x:c r="H599" s="9" t="str">
        <x:v>女</x:v>
      </x:c>
      <x:c r="I599" s="9" t="str">
        <x:v>lefame拉飞姆2026春秋时尚复古撞色假腰带千鸟格半裙百褶裙</x:v>
      </x:c>
      <x:c r="J599" s="9" t="str">
        <x:v>LE FAME</x:v>
      </x:c>
      <x:c r="K599" s="24" t="n">
        <x:v>1524.08</x:v>
      </x:c>
      <x:c r="L599" s="25" t="e">
        <x:f>HYPERLINK("https://item.taobao.com/item.htm?id=998834767400","打开商品")</x:f>
        <x:v>HYPERLINK is not implemented. linkLocation=https://item.taobao.com/item.htm?id=998834767400, friendlyName=打开商品</x:v>
      </x:c>
      <x:c r="M599" s="25" t="e">
        <x:f>HYPERLINK("https://data.zhiyitech.cn/itemDetail/overview/base?itemId=998834767400","打开知衣")</x:f>
        <x:v>HYPERLINK is not implemented. linkLocation=https://data.zhiyitech.cn/itemDetail/overview/base?itemId=998834767400, friendlyName=打开知衣</x:v>
      </x:c>
      <x:c r="N599" s="25" t="e">
        <x:f>HYPERLINK("https://img.alicdn.com/bao/uploaded/i4/3300138435/O1CN014UI6Lt2CBHvLGRDdh_!!4611686018427387331-0-item_pic.jpg","查看主图")</x:f>
        <x:v>HYPERLINK is not implemented. linkLocation=https://img.alicdn.com/bao/uploaded/i4/3300138435/O1CN014UI6Lt2CBHvLGRDdh_!!4611686018427387331-0-item_pic.jpg, friendlyName=查看主图</x:v>
      </x:c>
      <x:c r="O599" s="9" t="str">
        <x:v>标题及既有类目语义复核；lefame拉飞姆2026春秋时尚复古撞色假腰带千鸟格半裙百褶裙；原类目及标题已能确认半身裙；展示使用已知大类，未知裙长下沉到结构字段，不强猜长短。</x:v>
      </x:c>
      <x:c r="P599" s="9" t="str">
        <x:v>普通男女装</x:v>
      </x:c>
      <x:c r="Q599" s="9" t="str">
        <x:v>W_SKIRTS_AVGPAID_1500_1600_ANNUAL2026.xlsx</x:v>
      </x:c>
      <x:c r="R599" s="9" t="str">
        <x:v>默认</x:v>
      </x:c>
      <x:c r="S599" s="9" t="n">
        <x:v>411</x:v>
      </x:c>
      <x:c r="T599" s="9" t="str">
        <x:v>deede8b56943df4f914be45dba170f12e69064023d6ef0e88dbde1764f6ba23e</x:v>
      </x:c>
      <x:c r="U599" s="9" t="str">
        <x:v>W_SKIRTS_AVGPAID_1500_1600_ANNUAL2026</x:v>
      </x:c>
      <x:c r="V599" s="9" t="str">
        <x:v>W_SKIRTS_AVGPAID_1500_1600_ANNUAL2026.xlsx / 默认 / 第411行 / SHA256 deede8b56943df4f914be45dba170f12e69064023d6ef0e88dbde1764f6ba23e</x:v>
      </x:c>
    </x:row>
    <x:row r="600" ht="58" customHeight="1">
      <x:c r="A600" s="23" t="str">
        <x:v>1000715006854</x:v>
      </x:c>
      <x:c r="B600" s="22"/>
      <x:c r="C600" s="22"/>
      <x:c r="D600" s="22"/>
      <x:c r="E600" s="9" t="str">
        <x:v>裙长未明确</x:v>
      </x:c>
      <x:c r="F600" s="9" t="str">
        <x:v>裙装</x:v>
      </x:c>
      <x:c r="G600" s="9" t="str">
        <x:v>半身裙</x:v>
      </x:c>
      <x:c r="H600" s="9" t="str">
        <x:v>女</x:v>
      </x:c>
      <x:c r="I600" s="9" t="str">
        <x:v>【商场同款/精工系列】LESS2026春新款蕾丝拼接半身裙2Q1D16690</x:v>
      </x:c>
      <x:c r="J600" s="9" t="str">
        <x:v>LESS</x:v>
      </x:c>
      <x:c r="K600" s="24" t="n">
        <x:v>1513.55</x:v>
      </x:c>
      <x:c r="L600" s="25" t="e">
        <x:f>HYPERLINK("https://item.taobao.com/item.htm?id=1000715006854","打开商品")</x:f>
        <x:v>HYPERLINK is not implemented. linkLocation=https://item.taobao.com/item.htm?id=1000715006854, friendlyName=打开商品</x:v>
      </x:c>
      <x:c r="M600" s="25" t="e">
        <x:f>HYPERLINK("https://data.zhiyitech.cn/itemDetail/overview/base?itemId=1000715006854","打开知衣")</x:f>
        <x:v>HYPERLINK is not implemented. linkLocation=https://data.zhiyitech.cn/itemDetail/overview/base?itemId=1000715006854, friendlyName=打开知衣</x:v>
      </x:c>
      <x:c r="N600" s="25" t="e">
        <x:f>HYPERLINK("https://img.alicdn.com/bao/uploaded/i1/1027574646/O1CN01elUWkalwq6H1chua_!!4611686018427382646-0-item_pic.jpg","查看主图")</x:f>
        <x:v>HYPERLINK is not implemented. linkLocation=https://img.alicdn.com/bao/uploaded/i1/1027574646/O1CN01elUWkalwq6H1chua_!!4611686018427382646-0-item_pic.jpg, friendlyName=查看主图</x:v>
      </x:c>
      <x:c r="O600" s="9" t="str">
        <x:v>标题及既有类目语义复核；【商场同款/精工系列】LESS2026春新款蕾丝拼接半身裙2Q1D16690；原类目及标题已能确认半身裙；展示使用已知大类，未知裙长下沉到结构字段，不强猜长短。</x:v>
      </x:c>
      <x:c r="P600" s="9" t="str">
        <x:v>普通男女装</x:v>
      </x:c>
      <x:c r="Q600" s="9" t="str">
        <x:v>W_SKIRTS_AVGPAID_1500_1600_ANNUAL2026.xlsx</x:v>
      </x:c>
      <x:c r="R600" s="9" t="str">
        <x:v>默认</x:v>
      </x:c>
      <x:c r="S600" s="9" t="n">
        <x:v>27</x:v>
      </x:c>
      <x:c r="T600" s="9" t="str">
        <x:v>deede8b56943df4f914be45dba170f12e69064023d6ef0e88dbde1764f6ba23e</x:v>
      </x:c>
      <x:c r="U600" s="9" t="str">
        <x:v>W_SKIRTS_AVGPAID_1500_1600_ANNUAL2026</x:v>
      </x:c>
      <x:c r="V600" s="9" t="str">
        <x:v>W_SKIRTS_AVGPAID_1500_1600_ANNUAL2026.xlsx / 默认 / 第27行 / SHA256 deede8b56943df4f914be45dba170f12e69064023d6ef0e88dbde1764f6ba23e</x:v>
      </x:c>
    </x:row>
    <x:row r="601" ht="58" customHeight="1">
      <x:c r="A601" s="23" t="str">
        <x:v>1000715322764</x:v>
      </x:c>
      <x:c r="B601" s="22"/>
      <x:c r="C601" s="22"/>
      <x:c r="D601" s="22"/>
      <x:c r="E601" s="9" t="str">
        <x:v>裙长未明确</x:v>
      </x:c>
      <x:c r="F601" s="9" t="str">
        <x:v>裙装</x:v>
      </x:c>
      <x:c r="G601" s="9" t="str">
        <x:v>半身裙</x:v>
      </x:c>
      <x:c r="H601" s="9" t="str">
        <x:v>女</x:v>
      </x:c>
      <x:c r="I601" s="9" t="str">
        <x:v>【商场同款/精工系列】LESS2026春新款压褶拼接半身裙2Q1D13010</x:v>
      </x:c>
      <x:c r="J601" s="9" t="str">
        <x:v>LESS</x:v>
      </x:c>
      <x:c r="K601" s="24" t="n">
        <x:v>1331.87</x:v>
      </x:c>
      <x:c r="L601" s="25" t="e">
        <x:f>HYPERLINK("https://item.taobao.com/item.htm?id=1000715322764","打开商品")</x:f>
        <x:v>HYPERLINK is not implemented. linkLocation=https://item.taobao.com/item.htm?id=1000715322764, friendlyName=打开商品</x:v>
      </x:c>
      <x:c r="M601" s="25" t="e">
        <x:f>HYPERLINK("https://data.zhiyitech.cn/itemDetail/overview/base?itemId=1000715322764","打开知衣")</x:f>
        <x:v>HYPERLINK is not implemented. linkLocation=https://data.zhiyitech.cn/itemDetail/overview/base?itemId=1000715322764, friendlyName=打开知衣</x:v>
      </x:c>
      <x:c r="N601" s="25" t="e">
        <x:f>HYPERLINK("https://img.alicdn.com/bao/uploaded/i3/1027574646/O1CN01Ov9EGn662QB1chua_!!4611686018427382646-0-item_pic.jpg","查看主图")</x:f>
        <x:v>HYPERLINK is not implemented. linkLocation=https://img.alicdn.com/bao/uploaded/i3/1027574646/O1CN01Ov9EGn662QB1chua_!!4611686018427382646-0-item_pic.jpg, friendlyName=查看主图</x:v>
      </x:c>
      <x:c r="O601" s="9" t="str">
        <x:v>标题及既有类目语义复核；【商场同款/精工系列】LESS2026春新款压褶拼接半身裙2Q1D13010；原类目及标题已能确认半身裙；展示使用已知大类，未知裙长下沉到结构字段，不强猜长短。</x:v>
      </x:c>
      <x:c r="P601" s="9" t="str">
        <x:v>普通男女装</x:v>
      </x:c>
      <x:c r="Q601" s="9" t="str">
        <x:v>W_SKIRTS_AVGPAID_1300_1400_ANNUAL2026.xlsx</x:v>
      </x:c>
      <x:c r="R601" s="9" t="str">
        <x:v>默认</x:v>
      </x:c>
      <x:c r="S601" s="9" t="n">
        <x:v>102</x:v>
      </x:c>
      <x:c r="T601" s="9" t="str">
        <x:v>bd4dae1e08e9eca7ddd0669235bf59107cdc418b9c2898fc16f36a7ab5748692</x:v>
      </x:c>
      <x:c r="U601" s="9" t="str">
        <x:v>W_SKIRTS_AVGPAID_1300_1400_ANNUAL2026</x:v>
      </x:c>
      <x:c r="V601" s="9" t="str">
        <x:v>W_SKIRTS_AVGPAID_1300_1400_ANNUAL2026.xlsx / 默认 / 第102行 / SHA256 bd4dae1e08e9eca7ddd0669235bf59107cdc418b9c2898fc16f36a7ab5748692</x:v>
      </x:c>
    </x:row>
    <x:row r="602" ht="58" customHeight="1">
      <x:c r="A602" s="23" t="str">
        <x:v>1006672380739</x:v>
      </x:c>
      <x:c r="B602" s="22"/>
      <x:c r="C602" s="22"/>
      <x:c r="D602" s="22"/>
      <x:c r="E602" s="9" t="str">
        <x:v>裙长未明确</x:v>
      </x:c>
      <x:c r="F602" s="9" t="str">
        <x:v>裙装</x:v>
      </x:c>
      <x:c r="G602" s="9" t="str">
        <x:v>半身裙</x:v>
      </x:c>
      <x:c r="H602" s="9" t="str">
        <x:v>女</x:v>
      </x:c>
      <x:c r="I602" s="9" t="str">
        <x:v>LESS艺术格纹开叉直筒半身裙</x:v>
      </x:c>
      <x:c r="J602" s="9" t="str">
        <x:v>LESS</x:v>
      </x:c>
      <x:c r="K602" s="24" t="n">
        <x:v>1394.41</x:v>
      </x:c>
      <x:c r="L602" s="25" t="e">
        <x:f>HYPERLINK("https://item.taobao.com/item.htm?id=1006672380739","打开商品")</x:f>
        <x:v>HYPERLINK is not implemented. linkLocation=https://item.taobao.com/item.htm?id=1006672380739, friendlyName=打开商品</x:v>
      </x:c>
      <x:c r="M602" s="25" t="e">
        <x:f>HYPERLINK("https://data.zhiyitech.cn/itemDetail/overview/base?itemId=1006672380739","打开知衣")</x:f>
        <x:v>HYPERLINK is not implemented. linkLocation=https://data.zhiyitech.cn/itemDetail/overview/base?itemId=1006672380739, friendlyName=打开知衣</x:v>
      </x:c>
      <x:c r="N602" s="25" t="e">
        <x:f>HYPERLINK("https://img.alicdn.com/bao/uploaded/i3/1027574646/O1CN012MxN2DE9v1G1chua_!!1027574646.jpg","查看主图")</x:f>
        <x:v>HYPERLINK is not implemented. linkLocation=https://img.alicdn.com/bao/uploaded/i3/1027574646/O1CN012MxN2DE9v1G1chua_!!1027574646.jpg, friendlyName=查看主图</x:v>
      </x:c>
      <x:c r="O602" s="9" t="str">
        <x:v>标题及既有类目语义复核；LESS艺术格纹开叉直筒半身裙；原类目及标题已能确认半身裙；展示使用已知大类，未知裙长下沉到结构字段，不强猜长短。</x:v>
      </x:c>
      <x:c r="P602" s="9" t="str">
        <x:v>普通男女装</x:v>
      </x:c>
      <x:c r="Q602" s="9" t="str">
        <x:v>W_SKIRTS_AVGPAID_1300_1400_ANNUAL2026.xlsx</x:v>
      </x:c>
      <x:c r="R602" s="9" t="str">
        <x:v>默认</x:v>
      </x:c>
      <x:c r="S602" s="9" t="n">
        <x:v>405</x:v>
      </x:c>
      <x:c r="T602" s="9" t="str">
        <x:v>bd4dae1e08e9eca7ddd0669235bf59107cdc418b9c2898fc16f36a7ab5748692</x:v>
      </x:c>
      <x:c r="U602" s="9" t="str">
        <x:v>W_SKIRTS_AVGPAID_1300_1400_ANNUAL2026</x:v>
      </x:c>
      <x:c r="V602" s="9" t="str">
        <x:v>W_SKIRTS_AVGPAID_1300_1400_ANNUAL2026.xlsx / 默认 / 第405行 / SHA256 bd4dae1e08e9eca7ddd0669235bf59107cdc418b9c2898fc16f36a7ab5748692</x:v>
      </x:c>
    </x:row>
    <x:row r="603" ht="58" customHeight="1">
      <x:c r="A603" s="23" t="str">
        <x:v>1013917866425</x:v>
      </x:c>
      <x:c r="B603" s="22"/>
      <x:c r="C603" s="22"/>
      <x:c r="D603" s="22"/>
      <x:c r="E603" s="9" t="str">
        <x:v>裙长未明确</x:v>
      </x:c>
      <x:c r="F603" s="9" t="str">
        <x:v>裙装</x:v>
      </x:c>
      <x:c r="G603" s="9" t="str">
        <x:v>半身裙</x:v>
      </x:c>
      <x:c r="H603" s="9" t="str">
        <x:v>女</x:v>
      </x:c>
      <x:c r="I603" s="9" t="str">
        <x:v>【商场同款】LESS2026春新款通勤职场直筒开衩半身裙2Q2D14480</x:v>
      </x:c>
      <x:c r="J603" s="9" t="str">
        <x:v>LESS</x:v>
      </x:c>
      <x:c r="K603" s="24" t="n">
        <x:v>1320.87</x:v>
      </x:c>
      <x:c r="L603" s="25" t="e">
        <x:f>HYPERLINK("https://item.taobao.com/item.htm?id=1013917866425","打开商品")</x:f>
        <x:v>HYPERLINK is not implemented. linkLocation=https://item.taobao.com/item.htm?id=1013917866425, friendlyName=打开商品</x:v>
      </x:c>
      <x:c r="M603" s="25" t="e">
        <x:f>HYPERLINK("https://data.zhiyitech.cn/itemDetail/overview/base?itemId=1013917866425","打开知衣")</x:f>
        <x:v>HYPERLINK is not implemented. linkLocation=https://data.zhiyitech.cn/itemDetail/overview/base?itemId=1013917866425, friendlyName=打开知衣</x:v>
      </x:c>
      <x:c r="N603" s="25" t="e">
        <x:f>HYPERLINK("https://img.alicdn.com/bao/uploaded/i3/1027574646/O1CN01prThkvSVreK1chua_!!4611686018427382646-0-item_pic.jpg","查看主图")</x:f>
        <x:v>HYPERLINK is not implemented. linkLocation=https://img.alicdn.com/bao/uploaded/i3/1027574646/O1CN01prThkvSVreK1chua_!!4611686018427382646-0-item_pic.jpg, friendlyName=查看主图</x:v>
      </x:c>
      <x:c r="O603" s="9" t="str">
        <x:v>标题及既有类目语义复核；【商场同款】LESS2026春新款通勤职场直筒开衩半身裙2Q2D14480；原类目及标题已能确认半身裙；展示使用已知大类，未知裙长下沉到结构字段，不强猜长短。</x:v>
      </x:c>
      <x:c r="P603" s="9" t="str">
        <x:v>普通男女装</x:v>
      </x:c>
      <x:c r="Q603" s="9" t="str">
        <x:v>W_SKIRTS_AVGPAID_1300_1400_ANNUAL2026.xlsx</x:v>
      </x:c>
      <x:c r="R603" s="9" t="str">
        <x:v>默认</x:v>
      </x:c>
      <x:c r="S603" s="9" t="n">
        <x:v>280</x:v>
      </x:c>
      <x:c r="T603" s="9" t="str">
        <x:v>bd4dae1e08e9eca7ddd0669235bf59107cdc418b9c2898fc16f36a7ab5748692</x:v>
      </x:c>
      <x:c r="U603" s="9" t="str">
        <x:v>W_SKIRTS_AVGPAID_1300_1400_ANNUAL2026</x:v>
      </x:c>
      <x:c r="V603" s="9" t="str">
        <x:v>W_SKIRTS_AVGPAID_1300_1400_ANNUAL2026.xlsx / 默认 / 第280行 / SHA256 bd4dae1e08e9eca7ddd0669235bf59107cdc418b9c2898fc16f36a7ab5748692</x:v>
      </x:c>
    </x:row>
    <x:row r="604" ht="58" customHeight="1">
      <x:c r="A604" s="23" t="str">
        <x:v>1018623118074</x:v>
      </x:c>
      <x:c r="B604" s="22"/>
      <x:c r="C604" s="22"/>
      <x:c r="D604" s="22"/>
      <x:c r="E604" s="9" t="str">
        <x:v>裙长未明确</x:v>
      </x:c>
      <x:c r="F604" s="9" t="str">
        <x:v>裙装</x:v>
      </x:c>
      <x:c r="G604" s="9" t="str">
        <x:v>半身裙</x:v>
      </x:c>
      <x:c r="H604" s="9" t="str">
        <x:v>女</x:v>
      </x:c>
      <x:c r="I604" s="9" t="str">
        <x:v>LESS设计感波浪针织半身裙</x:v>
      </x:c>
      <x:c r="J604" s="9" t="str">
        <x:v>LESS</x:v>
      </x:c>
      <x:c r="K604" s="24" t="n">
        <x:v>1795.73</x:v>
      </x:c>
      <x:c r="L604" s="25" t="e">
        <x:f>HYPERLINK("https://item.taobao.com/item.htm?id=1018623118074","打开商品")</x:f>
        <x:v>HYPERLINK is not implemented. linkLocation=https://item.taobao.com/item.htm?id=1018623118074, friendlyName=打开商品</x:v>
      </x:c>
      <x:c r="M604" s="25" t="e">
        <x:f>HYPERLINK("https://data.zhiyitech.cn/itemDetail/overview/base?itemId=1018623118074","打开知衣")</x:f>
        <x:v>HYPERLINK is not implemented. linkLocation=https://data.zhiyitech.cn/itemDetail/overview/base?itemId=1018623118074, friendlyName=打开知衣</x:v>
      </x:c>
      <x:c r="N604" s="25" t="e">
        <x:f>HYPERLINK("https://img.alicdn.com/bao/uploaded/i4/1027574646/O1CN01BgBNMDB6UrG1chua_!!1027574646.jpg","查看主图")</x:f>
        <x:v>HYPERLINK is not implemented. linkLocation=https://img.alicdn.com/bao/uploaded/i4/1027574646/O1CN01BgBNMDB6UrG1chua_!!1027574646.jpg, friendlyName=查看主图</x:v>
      </x:c>
      <x:c r="O604" s="9" t="str">
        <x:v>标题及既有类目语义复核；LESS设计感波浪针织半身裙；原类目及标题已能确认半身裙；展示使用已知大类，未知裙长下沉到结构字段，不强猜长短。</x:v>
      </x:c>
      <x:c r="P604" s="9" t="str">
        <x:v>普通男女装</x:v>
      </x:c>
      <x:c r="Q604" s="9" t="str">
        <x:v>W_SKIRTS_AVGPAID_1700_1800_ANNUAL2026.xlsx</x:v>
      </x:c>
      <x:c r="R604" s="9" t="str">
        <x:v>默认</x:v>
      </x:c>
      <x:c r="S604" s="9" t="n">
        <x:v>242</x:v>
      </x:c>
      <x:c r="T604" s="9" t="str">
        <x:v>c25ed77c53c7c5cfcf728778a0e9b297d8689503f62756a939cbd534ca9b587a</x:v>
      </x:c>
      <x:c r="U604" s="9" t="str">
        <x:v>W_SKIRTS_AVGPAID_1700_1800_ANNUAL2026</x:v>
      </x:c>
      <x:c r="V604" s="9" t="str">
        <x:v>W_SKIRTS_AVGPAID_1700_1800_ANNUAL2026.xlsx / 默认 / 第242行 / SHA256 c25ed77c53c7c5cfcf728778a0e9b297d8689503f62756a939cbd534ca9b587a</x:v>
      </x:c>
    </x:row>
    <x:row r="605" ht="58" customHeight="1">
      <x:c r="A605" s="23" t="str">
        <x:v>1018918598054</x:v>
      </x:c>
      <x:c r="B605" s="22"/>
      <x:c r="C605" s="22"/>
      <x:c r="D605" s="22"/>
      <x:c r="E605" s="9" t="str">
        <x:v>裙长未明确</x:v>
      </x:c>
      <x:c r="F605" s="9" t="str">
        <x:v>裙装</x:v>
      </x:c>
      <x:c r="G605" s="9" t="str">
        <x:v>半身裙</x:v>
      </x:c>
      <x:c r="H605" s="9" t="str">
        <x:v>女</x:v>
      </x:c>
      <x:c r="I605" s="9" t="str">
        <x:v>LESS桑蚕真丝半身裙两件</x:v>
      </x:c>
      <x:c r="J605" s="9" t="str">
        <x:v>LESS</x:v>
      </x:c>
      <x:c r="K605" s="24" t="n">
        <x:v>1511.75</x:v>
      </x:c>
      <x:c r="L605" s="25" t="e">
        <x:f>HYPERLINK("https://item.taobao.com/item.htm?id=1018918598054","打开商品")</x:f>
        <x:v>HYPERLINK is not implemented. linkLocation=https://item.taobao.com/item.htm?id=1018918598054, friendlyName=打开商品</x:v>
      </x:c>
      <x:c r="M605" s="25" t="e">
        <x:f>HYPERLINK("https://data.zhiyitech.cn/itemDetail/overview/base?itemId=1018918598054","打开知衣")</x:f>
        <x:v>HYPERLINK is not implemented. linkLocation=https://data.zhiyitech.cn/itemDetail/overview/base?itemId=1018918598054, friendlyName=打开知衣</x:v>
      </x:c>
      <x:c r="N605" s="25" t="e">
        <x:f>HYPERLINK("https://img.alicdn.com/bao/uploaded/i3/1027574646/O1CN01jeokjXD5x2F1chua_!!1027574646.jpg","查看主图")</x:f>
        <x:v>HYPERLINK is not implemented. linkLocation=https://img.alicdn.com/bao/uploaded/i3/1027574646/O1CN01jeokjXD5x2F1chua_!!1027574646.jpg, friendlyName=查看主图</x:v>
      </x:c>
      <x:c r="O605" s="9" t="str">
        <x:v>标题及既有类目语义复核；LESS桑蚕真丝半身裙两件；原类目及标题已能确认半身裙；展示使用已知大类，未知裙长下沉到结构字段，不强猜长短。</x:v>
      </x:c>
      <x:c r="P605" s="9" t="str">
        <x:v>普通男女装</x:v>
      </x:c>
      <x:c r="Q605" s="9" t="str">
        <x:v>W_SKIRTS_AVGPAID_1500_1600_ANNUAL2026.xlsx</x:v>
      </x:c>
      <x:c r="R605" s="9" t="str">
        <x:v>默认</x:v>
      </x:c>
      <x:c r="S605" s="9" t="n">
        <x:v>276</x:v>
      </x:c>
      <x:c r="T605" s="9" t="str">
        <x:v>deede8b56943df4f914be45dba170f12e69064023d6ef0e88dbde1764f6ba23e</x:v>
      </x:c>
      <x:c r="U605" s="9" t="str">
        <x:v>W_SKIRTS_AVGPAID_1500_1600_ANNUAL2026</x:v>
      </x:c>
      <x:c r="V605" s="9" t="str">
        <x:v>W_SKIRTS_AVGPAID_1500_1600_ANNUAL2026.xlsx / 默认 / 第276行 / SHA256 deede8b56943df4f914be45dba170f12e69064023d6ef0e88dbde1764f6ba23e</x:v>
      </x:c>
    </x:row>
    <x:row r="606" ht="58" customHeight="1">
      <x:c r="A606" s="23" t="str">
        <x:v>1028332967726</x:v>
      </x:c>
      <x:c r="B606" s="22"/>
      <x:c r="C606" s="22"/>
      <x:c r="D606" s="22"/>
      <x:c r="E606" s="9" t="str">
        <x:v>裙长未明确</x:v>
      </x:c>
      <x:c r="F606" s="9" t="str">
        <x:v>裙装</x:v>
      </x:c>
      <x:c r="G606" s="9" t="str">
        <x:v>半身裙</x:v>
      </x:c>
      <x:c r="H606" s="9" t="str">
        <x:v>女</x:v>
      </x:c>
      <x:c r="I606" s="9" t="str">
        <x:v>【商场同款】LESS2026夏新进口全棉复古牛仔微喇半身裙2Q4D15340</x:v>
      </x:c>
      <x:c r="J606" s="9" t="str">
        <x:v>LESS</x:v>
      </x:c>
      <x:c r="K606" s="24" t="n">
        <x:v>1323.05</x:v>
      </x:c>
      <x:c r="L606" s="25" t="e">
        <x:f>HYPERLINK("https://item.taobao.com/item.htm?id=1028332967726","打开商品")</x:f>
        <x:v>HYPERLINK is not implemented. linkLocation=https://item.taobao.com/item.htm?id=1028332967726, friendlyName=打开商品</x:v>
      </x:c>
      <x:c r="M606" s="25" t="e">
        <x:f>HYPERLINK("https://data.zhiyitech.cn/itemDetail/overview/base?itemId=1028332967726","打开知衣")</x:f>
        <x:v>HYPERLINK is not implemented. linkLocation=https://data.zhiyitech.cn/itemDetail/overview/base?itemId=1028332967726, friendlyName=打开知衣</x:v>
      </x:c>
      <x:c r="N606" s="25" t="e">
        <x:f>HYPERLINK("https://img.alicdn.com/bao/uploaded/i3/1027574646/O1CN010T0gySch51J1chua_!!4611686018427382646-0-item_pic.jpg","查看主图")</x:f>
        <x:v>HYPERLINK is not implemented. linkLocation=https://img.alicdn.com/bao/uploaded/i3/1027574646/O1CN010T0gySch51J1chua_!!4611686018427382646-0-item_pic.jpg, friendlyName=查看主图</x:v>
      </x:c>
      <x:c r="O606" s="9" t="str">
        <x:v>标题及既有类目语义复核；【商场同款】LESS2026夏新进口全棉复古牛仔微喇半身裙2Q4D15340；原类目及标题已能确认半身裙；展示使用已知大类，未知裙长下沉到结构字段，不强猜长短。</x:v>
      </x:c>
      <x:c r="P606" s="9" t="str">
        <x:v>普通男女装</x:v>
      </x:c>
      <x:c r="Q606" s="9" t="str">
        <x:v>W_SKIRTS_AVGPAID_1300_1400_ANNUAL2026.xlsx</x:v>
      </x:c>
      <x:c r="R606" s="9" t="str">
        <x:v>默认</x:v>
      </x:c>
      <x:c r="S606" s="9" t="n">
        <x:v>52</x:v>
      </x:c>
      <x:c r="T606" s="9" t="str">
        <x:v>bd4dae1e08e9eca7ddd0669235bf59107cdc418b9c2898fc16f36a7ab5748692</x:v>
      </x:c>
      <x:c r="U606" s="9" t="str">
        <x:v>W_SKIRTS_AVGPAID_1300_1400_ANNUAL2026</x:v>
      </x:c>
      <x:c r="V606" s="9" t="str">
        <x:v>W_SKIRTS_AVGPAID_1300_1400_ANNUAL2026.xlsx / 默认 / 第52行 / SHA256 bd4dae1e08e9eca7ddd0669235bf59107cdc418b9c2898fc16f36a7ab5748692</x:v>
      </x:c>
    </x:row>
    <x:row r="607" ht="58" customHeight="1">
      <x:c r="A607" s="23" t="str">
        <x:v>1028333259126</x:v>
      </x:c>
      <x:c r="B607" s="22"/>
      <x:c r="C607" s="22"/>
      <x:c r="D607" s="22"/>
      <x:c r="E607" s="9" t="str">
        <x:v>裙长未明确</x:v>
      </x:c>
      <x:c r="F607" s="9" t="str">
        <x:v>裙装</x:v>
      </x:c>
      <x:c r="G607" s="9" t="str">
        <x:v>半身裙</x:v>
      </x:c>
      <x:c r="H607" s="9" t="str">
        <x:v>女</x:v>
      </x:c>
      <x:c r="I607" s="9" t="str">
        <x:v>LESS美丽诺羊毛围裹半身裙</x:v>
      </x:c>
      <x:c r="J607" s="9" t="str">
        <x:v>LESS</x:v>
      </x:c>
      <x:c r="K607" s="24" t="n">
        <x:v>1583.82</x:v>
      </x:c>
      <x:c r="L607" s="25" t="e">
        <x:f>HYPERLINK("https://item.taobao.com/item.htm?id=1028333259126","打开商品")</x:f>
        <x:v>HYPERLINK is not implemented. linkLocation=https://item.taobao.com/item.htm?id=1028333259126, friendlyName=打开商品</x:v>
      </x:c>
      <x:c r="M607" s="25" t="e">
        <x:f>HYPERLINK("https://data.zhiyitech.cn/itemDetail/overview/base?itemId=1028333259126","打开知衣")</x:f>
        <x:v>HYPERLINK is not implemented. linkLocation=https://data.zhiyitech.cn/itemDetail/overview/base?itemId=1028333259126, friendlyName=打开知衣</x:v>
      </x:c>
      <x:c r="N607" s="25" t="e">
        <x:f>HYPERLINK("https://img.alicdn.com/bao/uploaded/i1/1027574646/O1CN01aoWpRGIS6DB1chua_!!1027574646.jpg","查看主图")</x:f>
        <x:v>HYPERLINK is not implemented. linkLocation=https://img.alicdn.com/bao/uploaded/i1/1027574646/O1CN01aoWpRGIS6DB1chua_!!1027574646.jpg, friendlyName=查看主图</x:v>
      </x:c>
      <x:c r="O607" s="9" t="str">
        <x:v>标题及既有类目语义复核；LESS美丽诺羊毛围裹半身裙；原类目及标题已能确认半身裙；展示使用已知大类，未知裙长下沉到结构字段，不强猜长短。</x:v>
      </x:c>
      <x:c r="P607" s="9" t="str">
        <x:v>普通男女装</x:v>
      </x:c>
      <x:c r="Q607" s="9" t="str">
        <x:v>W_SKIRTS_AVGPAID_1500_1600_ANNUAL2026.xlsx</x:v>
      </x:c>
      <x:c r="R607" s="9" t="str">
        <x:v>默认</x:v>
      </x:c>
      <x:c r="S607" s="9" t="n">
        <x:v>232</x:v>
      </x:c>
      <x:c r="T607" s="9" t="str">
        <x:v>deede8b56943df4f914be45dba170f12e69064023d6ef0e88dbde1764f6ba23e</x:v>
      </x:c>
      <x:c r="U607" s="9" t="str">
        <x:v>W_SKIRTS_AVGPAID_1500_1600_ANNUAL2026</x:v>
      </x:c>
      <x:c r="V607" s="9" t="str">
        <x:v>W_SKIRTS_AVGPAID_1500_1600_ANNUAL2026.xlsx / 默认 / 第232行 / SHA256 deede8b56943df4f914be45dba170f12e69064023d6ef0e88dbde1764f6ba23e</x:v>
      </x:c>
    </x:row>
    <x:row r="608" ht="58" customHeight="1">
      <x:c r="A608" s="23" t="str">
        <x:v>1037976518196</x:v>
      </x:c>
      <x:c r="B608" s="22"/>
      <x:c r="C608" s="22"/>
      <x:c r="D608" s="22"/>
      <x:c r="E608" s="9" t="str">
        <x:v>裙长未明确</x:v>
      </x:c>
      <x:c r="F608" s="9" t="str">
        <x:v>裙装</x:v>
      </x:c>
      <x:c r="G608" s="9" t="str">
        <x:v>半身裙</x:v>
      </x:c>
      <x:c r="H608" s="9" t="str">
        <x:v>女</x:v>
      </x:c>
      <x:c r="I608" s="9" t="str">
        <x:v>【商场同款/精工系列】LESS2026夏新款撞色立体褶半身裙2Q5D15600</x:v>
      </x:c>
      <x:c r="J608" s="9" t="str">
        <x:v>LESS</x:v>
      </x:c>
      <x:c r="K608" s="24" t="n">
        <x:v>1332.09</x:v>
      </x:c>
      <x:c r="L608" s="25" t="e">
        <x:f>HYPERLINK("https://item.taobao.com/item.htm?id=1037976518196","打开商品")</x:f>
        <x:v>HYPERLINK is not implemented. linkLocation=https://item.taobao.com/item.htm?id=1037976518196, friendlyName=打开商品</x:v>
      </x:c>
      <x:c r="M608" s="25" t="e">
        <x:f>HYPERLINK("https://data.zhiyitech.cn/itemDetail/overview/base?itemId=1037976518196","打开知衣")</x:f>
        <x:v>HYPERLINK is not implemented. linkLocation=https://data.zhiyitech.cn/itemDetail/overview/base?itemId=1037976518196, friendlyName=打开知衣</x:v>
      </x:c>
      <x:c r="N608" s="25" t="e">
        <x:f>HYPERLINK("https://img.alicdn.com/bao/uploaded/i3/1027574646/O1CN01RdsrsVO9L0B1chua_!!4611686018427382646-0-item_pic.jpg","查看主图")</x:f>
        <x:v>HYPERLINK is not implemented. linkLocation=https://img.alicdn.com/bao/uploaded/i3/1027574646/O1CN01RdsrsVO9L0B1chua_!!4611686018427382646-0-item_pic.jpg, friendlyName=查看主图</x:v>
      </x:c>
      <x:c r="O608" s="9" t="str">
        <x:v>标题及既有类目语义复核；【商场同款/精工系列】LESS2026夏新款撞色立体褶半身裙2Q5D15600；原类目及标题已能确认半身裙；展示使用已知大类，未知裙长下沉到结构字段，不强猜长短。</x:v>
      </x:c>
      <x:c r="P608" s="9" t="str">
        <x:v>普通男女装</x:v>
      </x:c>
      <x:c r="Q608" s="9" t="str">
        <x:v>W_SKIRTS_AVGPAID_1300_1400_ANNUAL2026.xlsx</x:v>
      </x:c>
      <x:c r="R608" s="9" t="str">
        <x:v>默认</x:v>
      </x:c>
      <x:c r="S608" s="9" t="n">
        <x:v>77</x:v>
      </x:c>
      <x:c r="T608" s="9" t="str">
        <x:v>bd4dae1e08e9eca7ddd0669235bf59107cdc418b9c2898fc16f36a7ab5748692</x:v>
      </x:c>
      <x:c r="U608" s="9" t="str">
        <x:v>W_SKIRTS_AVGPAID_1300_1400_ANNUAL2026</x:v>
      </x:c>
      <x:c r="V608" s="9" t="str">
        <x:v>W_SKIRTS_AVGPAID_1300_1400_ANNUAL2026.xlsx / 默认 / 第77行 / SHA256 bd4dae1e08e9eca7ddd0669235bf59107cdc418b9c2898fc16f36a7ab5748692</x:v>
      </x:c>
    </x:row>
    <x:row r="609" ht="58" customHeight="1">
      <x:c r="A609" s="23" t="str">
        <x:v>1041948155075</x:v>
      </x:c>
      <x:c r="B609" s="22"/>
      <x:c r="C609" s="22"/>
      <x:c r="D609" s="22"/>
      <x:c r="E609" s="9" t="str">
        <x:v>裙长未明确</x:v>
      </x:c>
      <x:c r="F609" s="9" t="str">
        <x:v>裙装</x:v>
      </x:c>
      <x:c r="G609" s="9" t="str">
        <x:v>半身裙</x:v>
      </x:c>
      <x:c r="H609" s="9" t="str">
        <x:v>女</x:v>
      </x:c>
      <x:c r="I609" s="9" t="str">
        <x:v>LESS渐变全棉印花半身裙</x:v>
      </x:c>
      <x:c r="J609" s="9" t="str">
        <x:v>LESS</x:v>
      </x:c>
      <x:c r="K609" s="24" t="n">
        <x:v>1367.97</x:v>
      </x:c>
      <x:c r="L609" s="25" t="e">
        <x:f>HYPERLINK("https://item.taobao.com/item.htm?id=1041948155075","打开商品")</x:f>
        <x:v>HYPERLINK is not implemented. linkLocation=https://item.taobao.com/item.htm?id=1041948155075, friendlyName=打开商品</x:v>
      </x:c>
      <x:c r="M609" s="25" t="e">
        <x:f>HYPERLINK("https://data.zhiyitech.cn/itemDetail/overview/base?itemId=1041948155075","打开知衣")</x:f>
        <x:v>HYPERLINK is not implemented. linkLocation=https://data.zhiyitech.cn/itemDetail/overview/base?itemId=1041948155075, friendlyName=打开知衣</x:v>
      </x:c>
      <x:c r="N609" s="25" t="e">
        <x:f>HYPERLINK("https://img.alicdn.com/bao/uploaded/i3/1027574646/O1CN017mY46BPnAiD1chua_!!1027574646.jpg","查看主图")</x:f>
        <x:v>HYPERLINK is not implemented. linkLocation=https://img.alicdn.com/bao/uploaded/i3/1027574646/O1CN017mY46BPnAiD1chua_!!1027574646.jpg, friendlyName=查看主图</x:v>
      </x:c>
      <x:c r="O609" s="9" t="str">
        <x:v>标题及既有类目语义复核；LESS渐变全棉印花半身裙；原类目及标题已能确认半身裙；展示使用已知大类，未知裙长下沉到结构字段，不强猜长短。</x:v>
      </x:c>
      <x:c r="P609" s="9" t="str">
        <x:v>普通男女装</x:v>
      </x:c>
      <x:c r="Q609" s="9" t="str">
        <x:v>W_SKIRTS_AVGPAID_1300_1400_ANNUAL2026.xlsx</x:v>
      </x:c>
      <x:c r="R609" s="9" t="str">
        <x:v>默认</x:v>
      </x:c>
      <x:c r="S609" s="9" t="n">
        <x:v>173</x:v>
      </x:c>
      <x:c r="T609" s="9" t="str">
        <x:v>bd4dae1e08e9eca7ddd0669235bf59107cdc418b9c2898fc16f36a7ab5748692</x:v>
      </x:c>
      <x:c r="U609" s="9" t="str">
        <x:v>W_SKIRTS_AVGPAID_1300_1400_ANNUAL2026</x:v>
      </x:c>
      <x:c r="V609" s="9" t="str">
        <x:v>W_SKIRTS_AVGPAID_1300_1400_ANNUAL2026.xlsx / 默认 / 第173行 / SHA256 bd4dae1e08e9eca7ddd0669235bf59107cdc418b9c2898fc16f36a7ab5748692</x:v>
      </x:c>
    </x:row>
    <x:row r="610" ht="58" customHeight="1">
      <x:c r="A610" s="23" t="str">
        <x:v>1043638845890</x:v>
      </x:c>
      <x:c r="B610" s="22"/>
      <x:c r="C610" s="22"/>
      <x:c r="D610" s="22"/>
      <x:c r="E610" s="9" t="str">
        <x:v>裙长未明确</x:v>
      </x:c>
      <x:c r="F610" s="9" t="str">
        <x:v>裙装</x:v>
      </x:c>
      <x:c r="G610" s="9" t="str">
        <x:v>半身裙</x:v>
      </x:c>
      <x:c r="H610" s="9" t="str">
        <x:v>女</x:v>
      </x:c>
      <x:c r="I610" s="9" t="str">
        <x:v>【商场同款/精工系列】LESS2026夏新全棉绣花A字半身裙2Q5D16420</x:v>
      </x:c>
      <x:c r="J610" s="9" t="str">
        <x:v>LESS</x:v>
      </x:c>
      <x:c r="K610" s="24" t="n">
        <x:v>1378.66</x:v>
      </x:c>
      <x:c r="L610" s="25" t="e">
        <x:f>HYPERLINK("https://item.taobao.com/item.htm?id=1043638845890","打开商品")</x:f>
        <x:v>HYPERLINK is not implemented. linkLocation=https://item.taobao.com/item.htm?id=1043638845890, friendlyName=打开商品</x:v>
      </x:c>
      <x:c r="M610" s="25" t="e">
        <x:f>HYPERLINK("https://data.zhiyitech.cn/itemDetail/overview/base?itemId=1043638845890","打开知衣")</x:f>
        <x:v>HYPERLINK is not implemented. linkLocation=https://data.zhiyitech.cn/itemDetail/overview/base?itemId=1043638845890, friendlyName=打开知衣</x:v>
      </x:c>
      <x:c r="N610" s="25" t="e">
        <x:f>HYPERLINK("https://img.alicdn.com/bao/uploaded/i3/1027574646/O1CN01tEHBklz8VyB1chua_!!4611686018427382646-0-item_pic.jpg","查看主图")</x:f>
        <x:v>HYPERLINK is not implemented. linkLocation=https://img.alicdn.com/bao/uploaded/i3/1027574646/O1CN01tEHBklz8VyB1chua_!!4611686018427382646-0-item_pic.jpg, friendlyName=查看主图</x:v>
      </x:c>
      <x:c r="O610" s="9" t="str">
        <x:v>标题及既有类目语义复核；【商场同款/精工系列】LESS2026夏新全棉绣花A字半身裙2Q5D16420；原类目及标题已能确认半身裙；展示使用已知大类，未知裙长下沉到结构字段，不强猜长短。</x:v>
      </x:c>
      <x:c r="P610" s="9" t="str">
        <x:v>普通男女装</x:v>
      </x:c>
      <x:c r="Q610" s="9" t="str">
        <x:v>W_SKIRTS_AVGPAID_1300_1400_ANNUAL2026.xlsx</x:v>
      </x:c>
      <x:c r="R610" s="9" t="str">
        <x:v>默认</x:v>
      </x:c>
      <x:c r="S610" s="9" t="n">
        <x:v>50</x:v>
      </x:c>
      <x:c r="T610" s="9" t="str">
        <x:v>bd4dae1e08e9eca7ddd0669235bf59107cdc418b9c2898fc16f36a7ab5748692</x:v>
      </x:c>
      <x:c r="U610" s="9" t="str">
        <x:v>W_SKIRTS_AVGPAID_1300_1400_ANNUAL2026</x:v>
      </x:c>
      <x:c r="V610" s="9" t="str">
        <x:v>W_SKIRTS_AVGPAID_1300_1400_ANNUAL2026.xlsx / 默认 / 第50行 / SHA256 bd4dae1e08e9eca7ddd0669235bf59107cdc418b9c2898fc16f36a7ab5748692</x:v>
      </x:c>
    </x:row>
    <x:row r="611" ht="58" customHeight="1">
      <x:c r="A611" s="23" t="str">
        <x:v>1043639125380</x:v>
      </x:c>
      <x:c r="B611" s="22"/>
      <x:c r="C611" s="22"/>
      <x:c r="D611" s="22"/>
      <x:c r="E611" s="9" t="str">
        <x:v>裙长未明确</x:v>
      </x:c>
      <x:c r="F611" s="9" t="str">
        <x:v>裙装</x:v>
      </x:c>
      <x:c r="G611" s="9" t="str">
        <x:v>半身裙</x:v>
      </x:c>
      <x:c r="H611" s="9" t="str">
        <x:v>女</x:v>
      </x:c>
      <x:c r="I611" s="9" t="str">
        <x:v>LESS薄款方格褶半身裙</x:v>
      </x:c>
      <x:c r="J611" s="9" t="str">
        <x:v>LESS</x:v>
      </x:c>
      <x:c r="K611" s="24" t="n">
        <x:v>1379.93</x:v>
      </x:c>
      <x:c r="L611" s="25" t="e">
        <x:f>HYPERLINK("https://item.taobao.com/item.htm?id=1043639125380","打开商品")</x:f>
        <x:v>HYPERLINK is not implemented. linkLocation=https://item.taobao.com/item.htm?id=1043639125380, friendlyName=打开商品</x:v>
      </x:c>
      <x:c r="M611" s="25" t="e">
        <x:f>HYPERLINK("https://data.zhiyitech.cn/itemDetail/overview/base?itemId=1043639125380","打开知衣")</x:f>
        <x:v>HYPERLINK is not implemented. linkLocation=https://data.zhiyitech.cn/itemDetail/overview/base?itemId=1043639125380, friendlyName=打开知衣</x:v>
      </x:c>
      <x:c r="N611" s="25" t="e">
        <x:f>HYPERLINK("https://img.alicdn.com/bao/uploaded/i2/1027574646/O1CN01v0B92GE4xPK1chua_!!4611686018427382646-0-item_pic.jpg","查看主图")</x:f>
        <x:v>HYPERLINK is not implemented. linkLocation=https://img.alicdn.com/bao/uploaded/i2/1027574646/O1CN01v0B92GE4xPK1chua_!!4611686018427382646-0-item_pic.jpg, friendlyName=查看主图</x:v>
      </x:c>
      <x:c r="O611" s="9" t="str">
        <x:v>标题及既有类目语义复核；LESS薄款方格褶半身裙；原类目及标题已能确认半身裙；展示使用已知大类，未知裙长下沉到结构字段，不强猜长短。</x:v>
      </x:c>
      <x:c r="P611" s="9" t="str">
        <x:v>普通男女装</x:v>
      </x:c>
      <x:c r="Q611" s="9" t="str">
        <x:v>W_SKIRTS_AVGPAID_1300_1400_ANNUAL2026.xlsx</x:v>
      </x:c>
      <x:c r="R611" s="9" t="str">
        <x:v>默认</x:v>
      </x:c>
      <x:c r="S611" s="9" t="n">
        <x:v>168</x:v>
      </x:c>
      <x:c r="T611" s="9" t="str">
        <x:v>bd4dae1e08e9eca7ddd0669235bf59107cdc418b9c2898fc16f36a7ab5748692</x:v>
      </x:c>
      <x:c r="U611" s="9" t="str">
        <x:v>W_SKIRTS_AVGPAID_1300_1400_ANNUAL2026</x:v>
      </x:c>
      <x:c r="V611" s="9" t="str">
        <x:v>W_SKIRTS_AVGPAID_1300_1400_ANNUAL2026.xlsx / 默认 / 第168行 / SHA256 bd4dae1e08e9eca7ddd0669235bf59107cdc418b9c2898fc16f36a7ab5748692</x:v>
      </x:c>
    </x:row>
    <x:row r="612" ht="58" customHeight="1">
      <x:c r="A612" s="23" t="str">
        <x:v>1046714269539</x:v>
      </x:c>
      <x:c r="B612" s="22"/>
      <x:c r="C612" s="22"/>
      <x:c r="D612" s="22"/>
      <x:c r="E612" s="9" t="str">
        <x:v>裙长未明确</x:v>
      </x:c>
      <x:c r="F612" s="9" t="str">
        <x:v>裙装</x:v>
      </x:c>
      <x:c r="G612" s="9" t="str">
        <x:v>半身裙</x:v>
      </x:c>
      <x:c r="H612" s="9" t="str">
        <x:v>女</x:v>
      </x:c>
      <x:c r="I612" s="9" t="str">
        <x:v>LESS铜氨系带A字半身裙</x:v>
      </x:c>
      <x:c r="J612" s="9" t="str">
        <x:v>LESS</x:v>
      </x:c>
      <x:c r="K612" s="24" t="n">
        <x:v>1514.66</x:v>
      </x:c>
      <x:c r="L612" s="25" t="e">
        <x:f>HYPERLINK("https://item.taobao.com/item.htm?id=1046714269539","打开商品")</x:f>
        <x:v>HYPERLINK is not implemented. linkLocation=https://item.taobao.com/item.htm?id=1046714269539, friendlyName=打开商品</x:v>
      </x:c>
      <x:c r="M612" s="25" t="e">
        <x:f>HYPERLINK("https://data.zhiyitech.cn/itemDetail/overview/base?itemId=1046714269539","打开知衣")</x:f>
        <x:v>HYPERLINK is not implemented. linkLocation=https://data.zhiyitech.cn/itemDetail/overview/base?itemId=1046714269539, friendlyName=打开知衣</x:v>
      </x:c>
      <x:c r="N612" s="25" t="e">
        <x:f>HYPERLINK("https://img.alicdn.com/bao/uploaded/i1/1027574646/O1CN01yrEC3UgOMHG1chua_!!1027574646.jpg","查看主图")</x:f>
        <x:v>HYPERLINK is not implemented. linkLocation=https://img.alicdn.com/bao/uploaded/i1/1027574646/O1CN01yrEC3UgOMHG1chua_!!1027574646.jpg, friendlyName=查看主图</x:v>
      </x:c>
      <x:c r="O612" s="9" t="str">
        <x:v>标题及既有类目语义复核；LESS铜氨系带A字半身裙；原类目及标题已能确认半身裙；展示使用已知大类，未知裙长下沉到结构字段，不强猜长短。</x:v>
      </x:c>
      <x:c r="P612" s="9" t="str">
        <x:v>普通男女装</x:v>
      </x:c>
      <x:c r="Q612" s="9" t="str">
        <x:v>W_SKIRTS_AVGPAID_1500_1600_ANNUAL2026.xlsx</x:v>
      </x:c>
      <x:c r="R612" s="9" t="str">
        <x:v>默认</x:v>
      </x:c>
      <x:c r="S612" s="9" t="n">
        <x:v>239</x:v>
      </x:c>
      <x:c r="T612" s="9" t="str">
        <x:v>deede8b56943df4f914be45dba170f12e69064023d6ef0e88dbde1764f6ba23e</x:v>
      </x:c>
      <x:c r="U612" s="9" t="str">
        <x:v>W_SKIRTS_AVGPAID_1500_1600_ANNUAL2026</x:v>
      </x:c>
      <x:c r="V612" s="9" t="str">
        <x:v>W_SKIRTS_AVGPAID_1500_1600_ANNUAL2026.xlsx / 默认 / 第239行 / SHA256 deede8b56943df4f914be45dba170f12e69064023d6ef0e88dbde1764f6ba23e</x:v>
      </x:c>
    </x:row>
    <x:row r="613" ht="58" customHeight="1">
      <x:c r="A613" s="23" t="str">
        <x:v>1047597408551</x:v>
      </x:c>
      <x:c r="B613" s="22"/>
      <x:c r="C613" s="22"/>
      <x:c r="D613" s="22"/>
      <x:c r="E613" s="9" t="str">
        <x:v>裙长未明确</x:v>
      </x:c>
      <x:c r="F613" s="9" t="str">
        <x:v>裙装</x:v>
      </x:c>
      <x:c r="G613" s="9" t="str">
        <x:v>半身裙</x:v>
      </x:c>
      <x:c r="H613" s="9" t="str">
        <x:v>女</x:v>
      </x:c>
      <x:c r="I613" s="9" t="str">
        <x:v>【商场同款/精工系列】LESS2026夏新款长绒棉绣花半身裙2Q6D14230</x:v>
      </x:c>
      <x:c r="J613" s="9" t="str">
        <x:v>LESS</x:v>
      </x:c>
      <x:c r="K613" s="24" t="n">
        <x:v>1504.86</x:v>
      </x:c>
      <x:c r="L613" s="25" t="e">
        <x:f>HYPERLINK("https://item.taobao.com/item.htm?id=1047597408551","打开商品")</x:f>
        <x:v>HYPERLINK is not implemented. linkLocation=https://item.taobao.com/item.htm?id=1047597408551, friendlyName=打开商品</x:v>
      </x:c>
      <x:c r="M613" s="25" t="e">
        <x:f>HYPERLINK("https://data.zhiyitech.cn/itemDetail/overview/base?itemId=1047597408551","打开知衣")</x:f>
        <x:v>HYPERLINK is not implemented. linkLocation=https://data.zhiyitech.cn/itemDetail/overview/base?itemId=1047597408551, friendlyName=打开知衣</x:v>
      </x:c>
      <x:c r="N613" s="25" t="e">
        <x:f>HYPERLINK("https://img.alicdn.com/bao/uploaded/i1/1027574646/O1CN01gkiIO8UjH9E1chua_!!4611686018427382646-0-item_pic.jpg","查看主图")</x:f>
        <x:v>HYPERLINK is not implemented. linkLocation=https://img.alicdn.com/bao/uploaded/i1/1027574646/O1CN01gkiIO8UjH9E1chua_!!4611686018427382646-0-item_pic.jpg, friendlyName=查看主图</x:v>
      </x:c>
      <x:c r="O613" s="9" t="str">
        <x:v>标题及既有类目语义复核；【商场同款/精工系列】LESS2026夏新款长绒棉绣花半身裙2Q6D14230；原类目及标题已能确认半身裙；展示使用已知大类，未知裙长下沉到结构字段，不强猜长短。</x:v>
      </x:c>
      <x:c r="P613" s="9" t="str">
        <x:v>普通男女装</x:v>
      </x:c>
      <x:c r="Q613" s="9" t="str">
        <x:v>W_SKIRTS_AVGPAID_1500_1600_ANNUAL2026.xlsx</x:v>
      </x:c>
      <x:c r="R613" s="9" t="str">
        <x:v>默认</x:v>
      </x:c>
      <x:c r="S613" s="9" t="n">
        <x:v>132</x:v>
      </x:c>
      <x:c r="T613" s="9" t="str">
        <x:v>deede8b56943df4f914be45dba170f12e69064023d6ef0e88dbde1764f6ba23e</x:v>
      </x:c>
      <x:c r="U613" s="9" t="str">
        <x:v>W_SKIRTS_AVGPAID_1500_1600_ANNUAL2026</x:v>
      </x:c>
      <x:c r="V613" s="9" t="str">
        <x:v>W_SKIRTS_AVGPAID_1500_1600_ANNUAL2026.xlsx / 默认 / 第132行 / SHA256 deede8b56943df4f914be45dba170f12e69064023d6ef0e88dbde1764f6ba23e</x:v>
      </x:c>
    </x:row>
    <x:row r="614" ht="58" customHeight="1">
      <x:c r="A614" s="23" t="str">
        <x:v>1066664565684</x:v>
      </x:c>
      <x:c r="B614" s="22"/>
      <x:c r="C614" s="22"/>
      <x:c r="D614" s="22"/>
      <x:c r="E614" s="9" t="str">
        <x:v>裙长未明确</x:v>
      </x:c>
      <x:c r="F614" s="9" t="str">
        <x:v>裙装</x:v>
      </x:c>
      <x:c r="G614" s="9" t="str">
        <x:v>半身裙</x:v>
      </x:c>
      <x:c r="H614" s="9" t="str">
        <x:v>女</x:v>
      </x:c>
      <x:c r="I614" s="9" t="str">
        <x:v>【商场同款】LESS2026秋新款通勤优雅丝羊毛鱼尾半身裙2Q8D14010</x:v>
      </x:c>
      <x:c r="J614" s="9" t="str">
        <x:v>LESS</x:v>
      </x:c>
      <x:c r="K614" s="24" t="n">
        <x:v>1542.4</x:v>
      </x:c>
      <x:c r="L614" s="25" t="e">
        <x:f>HYPERLINK("https://item.taobao.com/item.htm?id=1066664565684","打开商品")</x:f>
        <x:v>HYPERLINK is not implemented. linkLocation=https://item.taobao.com/item.htm?id=1066664565684, friendlyName=打开商品</x:v>
      </x:c>
      <x:c r="M614" s="25" t="e">
        <x:f>HYPERLINK("https://data.zhiyitech.cn/itemDetail/overview/base?itemId=1066664565684","打开知衣")</x:f>
        <x:v>HYPERLINK is not implemented. linkLocation=https://data.zhiyitech.cn/itemDetail/overview/base?itemId=1066664565684, friendlyName=打开知衣</x:v>
      </x:c>
      <x:c r="N614" s="25" t="e">
        <x:f>HYPERLINK("https://img.alicdn.com/bao/uploaded/i3/1027574646/O1CN01yHE6Ze1kBvH17fWer_!!4611686018427382646-0-item_pic.jpg","查看主图")</x:f>
        <x:v>HYPERLINK is not implemented. linkLocation=https://img.alicdn.com/bao/uploaded/i3/1027574646/O1CN01yHE6Ze1kBvH17fWer_!!4611686018427382646-0-item_pic.jpg, friendlyName=查看主图</x:v>
      </x:c>
      <x:c r="O614" s="9" t="str">
        <x:v>标题及既有类目语义复核；【商场同款】LESS2026秋新款通勤优雅丝羊毛鱼尾半身裙2Q8D14010；原类目及标题已能确认半身裙；展示使用已知大类，未知裙长下沉到结构字段，不强猜长短。</x:v>
      </x:c>
      <x:c r="P614" s="9" t="str">
        <x:v>普通男女装</x:v>
      </x:c>
      <x:c r="Q614" s="9" t="str">
        <x:v>W_SKIRTS_AVGPAID_1500_1600_ANNUAL2026.xlsx</x:v>
      </x:c>
      <x:c r="R614" s="9" t="str">
        <x:v>默认</x:v>
      </x:c>
      <x:c r="S614" s="9" t="n">
        <x:v>493</x:v>
      </x:c>
      <x:c r="T614" s="9" t="str">
        <x:v>deede8b56943df4f914be45dba170f12e69064023d6ef0e88dbde1764f6ba23e</x:v>
      </x:c>
      <x:c r="U614" s="9" t="str">
        <x:v>W_SKIRTS_AVGPAID_1500_1600_ANNUAL2026</x:v>
      </x:c>
      <x:c r="V614" s="9" t="str">
        <x:v>W_SKIRTS_AVGPAID_1500_1600_ANNUAL2026.xlsx / 默认 / 第493行 / SHA256 deede8b56943df4f914be45dba170f12e69064023d6ef0e88dbde1764f6ba23e</x:v>
      </x:c>
    </x:row>
    <x:row r="615" ht="58" customHeight="1">
      <x:c r="A615" s="23" t="str">
        <x:v>1076974234959</x:v>
      </x:c>
      <x:c r="B615" s="22"/>
      <x:c r="C615" s="22"/>
      <x:c r="D615" s="22"/>
      <x:c r="E615" s="9" t="str">
        <x:v>裙长未明确</x:v>
      </x:c>
      <x:c r="F615" s="9" t="str">
        <x:v>裙装</x:v>
      </x:c>
      <x:c r="G615" s="9" t="str">
        <x:v>半身裙</x:v>
      </x:c>
      <x:c r="H615" s="9" t="str">
        <x:v>女</x:v>
      </x:c>
      <x:c r="I615" s="9" t="str">
        <x:v>【商场同款】LESS2026冬新通勤简约直筒开叉修身半身裙2Q0D13450</x:v>
      </x:c>
      <x:c r="J615" s="9" t="str">
        <x:v>LESS</x:v>
      </x:c>
      <x:c r="K615" s="24" t="n">
        <x:v>1706.02</x:v>
      </x:c>
      <x:c r="L615" s="25" t="e">
        <x:f>HYPERLINK("https://item.taobao.com/item.htm?id=1076974234959","打开商品")</x:f>
        <x:v>HYPERLINK is not implemented. linkLocation=https://item.taobao.com/item.htm?id=1076974234959, friendlyName=打开商品</x:v>
      </x:c>
      <x:c r="M615" s="25" t="e">
        <x:f>HYPERLINK("https://data.zhiyitech.cn/itemDetail/overview/base?itemId=1076974234959","打开知衣")</x:f>
        <x:v>HYPERLINK is not implemented. linkLocation=https://data.zhiyitech.cn/itemDetail/overview/base?itemId=1076974234959, friendlyName=打开知衣</x:v>
      </x:c>
      <x:c r="N615" s="25" t="e">
        <x:f>HYPERLINK("https://img.alicdn.com/bao/uploaded/i1/1027574646/O1CN01QZGv9E2yJvK1chua_!!4611686018427382646-0-item_pic.jpg","查看主图")</x:f>
        <x:v>HYPERLINK is not implemented. linkLocation=https://img.alicdn.com/bao/uploaded/i1/1027574646/O1CN01QZGv9E2yJvK1chua_!!4611686018427382646-0-item_pic.jpg, friendlyName=查看主图</x:v>
      </x:c>
      <x:c r="O615" s="9" t="str">
        <x:v>标题及既有类目语义复核；【商场同款】LESS2026冬新通勤简约直筒开叉修身半身裙2Q0D13450；原类目及标题已能确认半身裙；展示使用已知大类，未知裙长下沉到结构字段，不强猜长短。</x:v>
      </x:c>
      <x:c r="P615" s="9" t="str">
        <x:v>普通男女装</x:v>
      </x:c>
      <x:c r="Q615" s="9" t="str">
        <x:v>W_SKIRTS_AVGPAID_1700_1800_ANNUAL2026.xlsx</x:v>
      </x:c>
      <x:c r="R615" s="9" t="str">
        <x:v>默认</x:v>
      </x:c>
      <x:c r="S615" s="9" t="n">
        <x:v>221</x:v>
      </x:c>
      <x:c r="T615" s="9" t="str">
        <x:v>c25ed77c53c7c5cfcf728778a0e9b297d8689503f62756a939cbd534ca9b587a</x:v>
      </x:c>
      <x:c r="U615" s="9" t="str">
        <x:v>W_SKIRTS_AVGPAID_1700_1800_ANNUAL2026</x:v>
      </x:c>
      <x:c r="V615" s="9" t="str">
        <x:v>W_SKIRTS_AVGPAID_1700_1800_ANNUAL2026.xlsx / 默认 / 第221行 / SHA256 c25ed77c53c7c5cfcf728778a0e9b297d8689503f62756a939cbd534ca9b587a</x:v>
      </x:c>
    </x:row>
    <x:row r="616" ht="58" customHeight="1">
      <x:c r="A616" s="23" t="str">
        <x:v>1078017317405</x:v>
      </x:c>
      <x:c r="B616" s="22"/>
      <x:c r="C616" s="22"/>
      <x:c r="D616" s="22"/>
      <x:c r="E616" s="9" t="str">
        <x:v>裙长未明确</x:v>
      </x:c>
      <x:c r="F616" s="9" t="str">
        <x:v>裙装</x:v>
      </x:c>
      <x:c r="G616" s="9" t="str">
        <x:v>半身裙</x:v>
      </x:c>
      <x:c r="H616" s="9" t="str">
        <x:v>女</x:v>
      </x:c>
      <x:c r="I616" s="9" t="str">
        <x:v>【商场同款/精工系列】LESS2026冬新通勤气质A字半身裙2Q0D10030</x:v>
      </x:c>
      <x:c r="J616" s="9" t="str">
        <x:v>LESS</x:v>
      </x:c>
      <x:c r="K616" s="24" t="n">
        <x:v>1775.39</x:v>
      </x:c>
      <x:c r="L616" s="25" t="e">
        <x:f>HYPERLINK("https://item.taobao.com/item.htm?id=1078017317405","打开商品")</x:f>
        <x:v>HYPERLINK is not implemented. linkLocation=https://item.taobao.com/item.htm?id=1078017317405, friendlyName=打开商品</x:v>
      </x:c>
      <x:c r="M616" s="25" t="e">
        <x:f>HYPERLINK("https://data.zhiyitech.cn/itemDetail/overview/base?itemId=1078017317405","打开知衣")</x:f>
        <x:v>HYPERLINK is not implemented. linkLocation=https://data.zhiyitech.cn/itemDetail/overview/base?itemId=1078017317405, friendlyName=打开知衣</x:v>
      </x:c>
      <x:c r="N616" s="25" t="e">
        <x:f>HYPERLINK("https://img.alicdn.com/bao/uploaded/i1/1027574646/O1CN013llHYJJWpnB1chua_!!4611686018427382646-0-item_pic.jpg","查看主图")</x:f>
        <x:v>HYPERLINK is not implemented. linkLocation=https://img.alicdn.com/bao/uploaded/i1/1027574646/O1CN013llHYJJWpnB1chua_!!4611686018427382646-0-item_pic.jpg, friendlyName=查看主图</x:v>
      </x:c>
      <x:c r="O616" s="9" t="str">
        <x:v>标题及既有类目语义复核；【商场同款/精工系列】LESS2026冬新通勤气质A字半身裙2Q0D10030；原类目及标题已能确认半身裙；展示使用已知大类，未知裙长下沉到结构字段，不强猜长短。</x:v>
      </x:c>
      <x:c r="P616" s="9" t="str">
        <x:v>普通男女装</x:v>
      </x:c>
      <x:c r="Q616" s="9" t="str">
        <x:v>W_SKIRTS_AVGPAID_1700_1800_ANNUAL2026.xlsx</x:v>
      </x:c>
      <x:c r="R616" s="9" t="str">
        <x:v>默认</x:v>
      </x:c>
      <x:c r="S616" s="9" t="n">
        <x:v>328</x:v>
      </x:c>
      <x:c r="T616" s="9" t="str">
        <x:v>c25ed77c53c7c5cfcf728778a0e9b297d8689503f62756a939cbd534ca9b587a</x:v>
      </x:c>
      <x:c r="U616" s="9" t="str">
        <x:v>W_SKIRTS_AVGPAID_1700_1800_ANNUAL2026</x:v>
      </x:c>
      <x:c r="V616" s="9" t="str">
        <x:v>W_SKIRTS_AVGPAID_1700_1800_ANNUAL2026.xlsx / 默认 / 第328行 / SHA256 c25ed77c53c7c5cfcf728778a0e9b297d8689503f62756a939cbd534ca9b587a</x:v>
      </x:c>
    </x:row>
    <x:row r="617" ht="58" customHeight="1">
      <x:c r="A617" s="23" t="str">
        <x:v>1078017325314</x:v>
      </x:c>
      <x:c r="B617" s="22"/>
      <x:c r="C617" s="22"/>
      <x:c r="D617" s="22"/>
      <x:c r="E617" s="9" t="str">
        <x:v>裙长未明确</x:v>
      </x:c>
      <x:c r="F617" s="9" t="str">
        <x:v>裙装</x:v>
      </x:c>
      <x:c r="G617" s="9" t="str">
        <x:v>半身裙</x:v>
      </x:c>
      <x:c r="H617" s="9" t="str">
        <x:v>女</x:v>
      </x:c>
      <x:c r="I617" s="9" t="str">
        <x:v>【商场同款/精工系列】LESS2026冬新通勤直筒羊绒半身裙2Q0D13140</x:v>
      </x:c>
      <x:c r="J617" s="9" t="str">
        <x:v>LESS</x:v>
      </x:c>
      <x:c r="K617" s="24" t="n">
        <x:v>1595.27</x:v>
      </x:c>
      <x:c r="L617" s="25" t="e">
        <x:f>HYPERLINK("https://item.taobao.com/item.htm?id=1078017325314","打开商品")</x:f>
        <x:v>HYPERLINK is not implemented. linkLocation=https://item.taobao.com/item.htm?id=1078017325314, friendlyName=打开商品</x:v>
      </x:c>
      <x:c r="M617" s="25" t="e">
        <x:f>HYPERLINK("https://data.zhiyitech.cn/itemDetail/overview/base?itemId=1078017325314","打开知衣")</x:f>
        <x:v>HYPERLINK is not implemented. linkLocation=https://data.zhiyitech.cn/itemDetail/overview/base?itemId=1078017325314, friendlyName=打开知衣</x:v>
      </x:c>
      <x:c r="N617" s="25" t="e">
        <x:f>HYPERLINK("https://img.alicdn.com/bao/uploaded/i1/1027574646/O1CN01J9j8Dgn2HQL1chua_!!4611686018427382646-0-item_pic.jpg","查看主图")</x:f>
        <x:v>HYPERLINK is not implemented. linkLocation=https://img.alicdn.com/bao/uploaded/i1/1027574646/O1CN01J9j8Dgn2HQL1chua_!!4611686018427382646-0-item_pic.jpg, friendlyName=查看主图</x:v>
      </x:c>
      <x:c r="O617" s="9" t="str">
        <x:v>标题及既有类目语义复核；【商场同款/精工系列】LESS2026冬新通勤直筒羊绒半身裙2Q0D13140；原类目及标题已能确认半身裙；展示使用已知大类，未知裙长下沉到结构字段，不强猜长短。</x:v>
      </x:c>
      <x:c r="P617" s="9" t="str">
        <x:v>普通男女装</x:v>
      </x:c>
      <x:c r="Q617" s="9" t="str">
        <x:v>W_SKIRTS_AVGPAID_1500_1600_ANNUAL2026.xlsx</x:v>
      </x:c>
      <x:c r="R617" s="9" t="str">
        <x:v>默认</x:v>
      </x:c>
      <x:c r="S617" s="9" t="n">
        <x:v>248</x:v>
      </x:c>
      <x:c r="T617" s="9" t="str">
        <x:v>deede8b56943df4f914be45dba170f12e69064023d6ef0e88dbde1764f6ba23e</x:v>
      </x:c>
      <x:c r="U617" s="9" t="str">
        <x:v>W_SKIRTS_AVGPAID_1500_1600_ANNUAL2026</x:v>
      </x:c>
      <x:c r="V617" s="9" t="str">
        <x:v>W_SKIRTS_AVGPAID_1500_1600_ANNUAL2026.xlsx / 默认 / 第248行 / SHA256 deede8b56943df4f914be45dba170f12e69064023d6ef0e88dbde1764f6ba23e</x:v>
      </x:c>
    </x:row>
    <x:row r="618" ht="58" customHeight="1">
      <x:c r="A618" s="23" t="str">
        <x:v>1080806346763</x:v>
      </x:c>
      <x:c r="B618" s="22"/>
      <x:c r="C618" s="22"/>
      <x:c r="D618" s="22"/>
      <x:c r="E618" s="9" t="str">
        <x:v>裙长未明确</x:v>
      </x:c>
      <x:c r="F618" s="9" t="str">
        <x:v>裙装</x:v>
      </x:c>
      <x:c r="G618" s="9" t="str">
        <x:v>半身裙</x:v>
      </x:c>
      <x:c r="H618" s="9" t="str">
        <x:v>女</x:v>
      </x:c>
      <x:c r="I618" s="9" t="str">
        <x:v>【商场同款】LESS2026冬新通勤直筒修身针织毛呢半身裙2Q0D13540</x:v>
      </x:c>
      <x:c r="J618" s="9" t="str">
        <x:v>LESS</x:v>
      </x:c>
      <x:c r="K618" s="24" t="n">
        <x:v>1598.31</x:v>
      </x:c>
      <x:c r="L618" s="25" t="e">
        <x:f>HYPERLINK("https://item.taobao.com/item.htm?id=1080806346763","打开商品")</x:f>
        <x:v>HYPERLINK is not implemented. linkLocation=https://item.taobao.com/item.htm?id=1080806346763, friendlyName=打开商品</x:v>
      </x:c>
      <x:c r="M618" s="25" t="e">
        <x:f>HYPERLINK("https://data.zhiyitech.cn/itemDetail/overview/base?itemId=1080806346763","打开知衣")</x:f>
        <x:v>HYPERLINK is not implemented. linkLocation=https://data.zhiyitech.cn/itemDetail/overview/base?itemId=1080806346763, friendlyName=打开知衣</x:v>
      </x:c>
      <x:c r="N618" s="25" t="e">
        <x:f>HYPERLINK("https://img.alicdn.com/bao/uploaded/i2/1027574646/O1CN010MjUbPEMslK1chua_!!4611686018427382646-0-item_pic.jpg","查看主图")</x:f>
        <x:v>HYPERLINK is not implemented. linkLocation=https://img.alicdn.com/bao/uploaded/i2/1027574646/O1CN010MjUbPEMslK1chua_!!4611686018427382646-0-item_pic.jpg, friendlyName=查看主图</x:v>
      </x:c>
      <x:c r="O618" s="9" t="str">
        <x:v>标题及既有类目语义复核；【商场同款】LESS2026冬新通勤直筒修身针织毛呢半身裙2Q0D13540；原类目及标题已能确认半身裙；展示使用已知大类，未知裙长下沉到结构字段，不强猜长短。</x:v>
      </x:c>
      <x:c r="P618" s="9" t="str">
        <x:v>普通男女装</x:v>
      </x:c>
      <x:c r="Q618" s="9" t="str">
        <x:v>W_SKIRTS_AVGPAID_1500_1600_ANNUAL2026.xlsx</x:v>
      </x:c>
      <x:c r="R618" s="9" t="str">
        <x:v>默认</x:v>
      </x:c>
      <x:c r="S618" s="9" t="n">
        <x:v>373</x:v>
      </x:c>
      <x:c r="T618" s="9" t="str">
        <x:v>deede8b56943df4f914be45dba170f12e69064023d6ef0e88dbde1764f6ba23e</x:v>
      </x:c>
      <x:c r="U618" s="9" t="str">
        <x:v>W_SKIRTS_AVGPAID_1500_1600_ANNUAL2026</x:v>
      </x:c>
      <x:c r="V618" s="9" t="str">
        <x:v>W_SKIRTS_AVGPAID_1500_1600_ANNUAL2026.xlsx / 默认 / 第373行 / SHA256 deede8b56943df4f914be45dba170f12e69064023d6ef0e88dbde1764f6ba23e</x:v>
      </x:c>
    </x:row>
    <x:row r="619" ht="58" customHeight="1">
      <x:c r="A619" s="23" t="str">
        <x:v>897595653959</x:v>
      </x:c>
      <x:c r="B619" s="22"/>
      <x:c r="C619" s="22"/>
      <x:c r="D619" s="22"/>
      <x:c r="E619" s="9" t="str">
        <x:v>裙长未明确</x:v>
      </x:c>
      <x:c r="F619" s="9" t="str">
        <x:v>裙装</x:v>
      </x:c>
      <x:c r="G619" s="9" t="str">
        <x:v>半身裙</x:v>
      </x:c>
      <x:c r="H619" s="9" t="str">
        <x:v>女</x:v>
      </x:c>
      <x:c r="I619" s="9" t="str">
        <x:v>【精工系列】LESS欧根纱半身裙气质立体压褶伞裙含内里2P5D13290</x:v>
      </x:c>
      <x:c r="J619" s="9" t="str">
        <x:v>LESS</x:v>
      </x:c>
      <x:c r="K619" s="24" t="n">
        <x:v>1326.84</x:v>
      </x:c>
      <x:c r="L619" s="25" t="e">
        <x:f>HYPERLINK("https://item.taobao.com/item.htm?id=897595653959","打开商品")</x:f>
        <x:v>HYPERLINK is not implemented. linkLocation=https://item.taobao.com/item.htm?id=897595653959, friendlyName=打开商品</x:v>
      </x:c>
      <x:c r="M619" s="25" t="e">
        <x:f>HYPERLINK("https://data.zhiyitech.cn/itemDetail/overview/base?itemId=897595653959","打开知衣")</x:f>
        <x:v>HYPERLINK is not implemented. linkLocation=https://data.zhiyitech.cn/itemDetail/overview/base?itemId=897595653959, friendlyName=打开知衣</x:v>
      </x:c>
      <x:c r="N619" s="25" t="e">
        <x:f>HYPERLINK("https://img.alicdn.com/bao/uploaded/i2/1027574646/O1CN011w0gYg1kBvAW3SfP1_!!4611686018427382646-0-item_pic.jpg","查看主图")</x:f>
        <x:v>HYPERLINK is not implemented. linkLocation=https://img.alicdn.com/bao/uploaded/i2/1027574646/O1CN011w0gYg1kBvAW3SfP1_!!4611686018427382646-0-item_pic.jpg, friendlyName=查看主图</x:v>
      </x:c>
      <x:c r="O619" s="9" t="str">
        <x:v>标题及既有类目语义复核；【精工系列】LESS欧根纱半身裙气质立体压褶伞裙含内里2P5D13290；原类目及标题已能确认半身裙；展示使用已知大类，未知裙长下沉到结构字段，不强猜长短。</x:v>
      </x:c>
      <x:c r="P619" s="9" t="str">
        <x:v>普通男女装</x:v>
      </x:c>
      <x:c r="Q619" s="9" t="str">
        <x:v>W_SKIRTS_AVGPAID_1300_1400_ANNUAL2026.xlsx</x:v>
      </x:c>
      <x:c r="R619" s="9" t="str">
        <x:v>默认</x:v>
      </x:c>
      <x:c r="S619" s="9" t="n">
        <x:v>242</x:v>
      </x:c>
      <x:c r="T619" s="9" t="str">
        <x:v>bd4dae1e08e9eca7ddd0669235bf59107cdc418b9c2898fc16f36a7ab5748692</x:v>
      </x:c>
      <x:c r="U619" s="9" t="str">
        <x:v>W_SKIRTS_AVGPAID_1300_1400_ANNUAL2026</x:v>
      </x:c>
      <x:c r="V619" s="9" t="str">
        <x:v>W_SKIRTS_AVGPAID_1300_1400_ANNUAL2026.xlsx / 默认 / 第242行 / SHA256 bd4dae1e08e9eca7ddd0669235bf59107cdc418b9c2898fc16f36a7ab5748692</x:v>
      </x:c>
    </x:row>
    <x:row r="620" ht="58" customHeight="1">
      <x:c r="A620" s="23" t="str">
        <x:v>908972676144</x:v>
      </x:c>
      <x:c r="B620" s="22"/>
      <x:c r="C620" s="22"/>
      <x:c r="D620" s="22"/>
      <x:c r="E620" s="9" t="str">
        <x:v>裙长未明确</x:v>
      </x:c>
      <x:c r="F620" s="9" t="str">
        <x:v>裙装</x:v>
      </x:c>
      <x:c r="G620" s="9" t="str">
        <x:v>半身裙</x:v>
      </x:c>
      <x:c r="H620" s="9" t="str">
        <x:v>女</x:v>
      </x:c>
      <x:c r="I620" s="9" t="str">
        <x:v>【精工系列】LESS夏季6A桑蚕真丝黑色气质鱼尾半身裙女2P5D13300</x:v>
      </x:c>
      <x:c r="J620" s="9" t="str">
        <x:v>LESS</x:v>
      </x:c>
      <x:c r="K620" s="24" t="n">
        <x:v>1360.27</x:v>
      </x:c>
      <x:c r="L620" s="25" t="e">
        <x:f>HYPERLINK("https://item.taobao.com/item.htm?id=908972676144","打开商品")</x:f>
        <x:v>HYPERLINK is not implemented. linkLocation=https://item.taobao.com/item.htm?id=908972676144, friendlyName=打开商品</x:v>
      </x:c>
      <x:c r="M620" s="25" t="e">
        <x:f>HYPERLINK("https://data.zhiyitech.cn/itemDetail/overview/base?itemId=908972676144","打开知衣")</x:f>
        <x:v>HYPERLINK is not implemented. linkLocation=https://data.zhiyitech.cn/itemDetail/overview/base?itemId=908972676144, friendlyName=打开知衣</x:v>
      </x:c>
      <x:c r="N620" s="25" t="e">
        <x:f>HYPERLINK("https://img.alicdn.com/bao/uploaded/i2/1027574646/O1CN01h59Opu1kBvASyn0F4_!!4611686018427382646-0-item_pic.jpg","查看主图")</x:f>
        <x:v>HYPERLINK is not implemented. linkLocation=https://img.alicdn.com/bao/uploaded/i2/1027574646/O1CN01h59Opu1kBvASyn0F4_!!4611686018427382646-0-item_pic.jpg, friendlyName=查看主图</x:v>
      </x:c>
      <x:c r="O620" s="9" t="str">
        <x:v>标题及既有类目语义复核；【精工系列】LESS夏季6A桑蚕真丝黑色气质鱼尾半身裙女2P5D13300；原类目及标题已能确认半身裙；展示使用已知大类，未知裙长下沉到结构字段，不强猜长短。</x:v>
      </x:c>
      <x:c r="P620" s="9" t="str">
        <x:v>普通男女装</x:v>
      </x:c>
      <x:c r="Q620" s="9" t="str">
        <x:v>W_SKIRTS_AVGPAID_1300_1400_ANNUAL2026.xlsx</x:v>
      </x:c>
      <x:c r="R620" s="9" t="str">
        <x:v>默认</x:v>
      </x:c>
      <x:c r="S620" s="9" t="n">
        <x:v>107</x:v>
      </x:c>
      <x:c r="T620" s="9" t="str">
        <x:v>bd4dae1e08e9eca7ddd0669235bf59107cdc418b9c2898fc16f36a7ab5748692</x:v>
      </x:c>
      <x:c r="U620" s="9" t="str">
        <x:v>W_SKIRTS_AVGPAID_1300_1400_ANNUAL2026</x:v>
      </x:c>
      <x:c r="V620" s="9" t="str">
        <x:v>W_SKIRTS_AVGPAID_1300_1400_ANNUAL2026.xlsx / 默认 / 第107行 / SHA256 bd4dae1e08e9eca7ddd0669235bf59107cdc418b9c2898fc16f36a7ab5748692</x:v>
      </x:c>
    </x:row>
    <x:row r="621" ht="58" customHeight="1">
      <x:c r="A621" s="23" t="str">
        <x:v>968487734647</x:v>
      </x:c>
      <x:c r="B621" s="22"/>
      <x:c r="C621" s="22"/>
      <x:c r="D621" s="22"/>
      <x:c r="E621" s="9" t="str">
        <x:v>裙长未明确</x:v>
      </x:c>
      <x:c r="F621" s="9" t="str">
        <x:v>裙装</x:v>
      </x:c>
      <x:c r="G621" s="9" t="str">
        <x:v>半身裙</x:v>
      </x:c>
      <x:c r="H621" s="9" t="str">
        <x:v>女</x:v>
      </x:c>
      <x:c r="I621" s="9" t="str">
        <x:v>【精工系列】LESS秋气质A字压褶半身裙2P9D17810</x:v>
      </x:c>
      <x:c r="J621" s="9" t="str">
        <x:v>LESS</x:v>
      </x:c>
      <x:c r="K621" s="24" t="n">
        <x:v>1585.55</x:v>
      </x:c>
      <x:c r="L621" s="25" t="e">
        <x:f>HYPERLINK("https://item.taobao.com/item.htm?id=968487734647","打开商品")</x:f>
        <x:v>HYPERLINK is not implemented. linkLocation=https://item.taobao.com/item.htm?id=968487734647, friendlyName=打开商品</x:v>
      </x:c>
      <x:c r="M621" s="25" t="e">
        <x:f>HYPERLINK("https://data.zhiyitech.cn/itemDetail/overview/base?itemId=968487734647","打开知衣")</x:f>
        <x:v>HYPERLINK is not implemented. linkLocation=https://data.zhiyitech.cn/itemDetail/overview/base?itemId=968487734647, friendlyName=打开知衣</x:v>
      </x:c>
      <x:c r="N621" s="25" t="e">
        <x:f>HYPERLINK("https://img.alicdn.com/bao/uploaded/i4/1027574646/O1CN01m1AYOh1kBvDEIrOlv_!!4611686018427382646-0-item_pic.jpg","查看主图")</x:f>
        <x:v>HYPERLINK is not implemented. linkLocation=https://img.alicdn.com/bao/uploaded/i4/1027574646/O1CN01m1AYOh1kBvDEIrOlv_!!4611686018427382646-0-item_pic.jpg, friendlyName=查看主图</x:v>
      </x:c>
      <x:c r="O621" s="9" t="str">
        <x:v>标题及既有类目语义复核；【精工系列】LESS秋气质A字压褶半身裙2P9D17810；原类目及标题已能确认半身裙；展示使用已知大类，未知裙长下沉到结构字段，不强猜长短。</x:v>
      </x:c>
      <x:c r="P621" s="9" t="str">
        <x:v>普通男女装</x:v>
      </x:c>
      <x:c r="Q621" s="9" t="str">
        <x:v>W_SKIRTS_AVGPAID_1500_1600_ANNUAL2026.xlsx</x:v>
      </x:c>
      <x:c r="R621" s="9" t="str">
        <x:v>默认</x:v>
      </x:c>
      <x:c r="S621" s="9" t="n">
        <x:v>157</x:v>
      </x:c>
      <x:c r="T621" s="9" t="str">
        <x:v>deede8b56943df4f914be45dba170f12e69064023d6ef0e88dbde1764f6ba23e</x:v>
      </x:c>
      <x:c r="U621" s="9" t="str">
        <x:v>W_SKIRTS_AVGPAID_1500_1600_ANNUAL2026</x:v>
      </x:c>
      <x:c r="V621" s="9" t="str">
        <x:v>W_SKIRTS_AVGPAID_1500_1600_ANNUAL2026.xlsx / 默认 / 第157行 / SHA256 deede8b56943df4f914be45dba170f12e69064023d6ef0e88dbde1764f6ba23e</x:v>
      </x:c>
    </x:row>
    <x:row r="622" ht="58" customHeight="1">
      <x:c r="A622" s="23" t="str">
        <x:v>1027195543795</x:v>
      </x:c>
      <x:c r="B622" s="22"/>
      <x:c r="C622" s="22"/>
      <x:c r="D622" s="22"/>
      <x:c r="E622" s="9" t="str">
        <x:v>裙长未明确</x:v>
      </x:c>
      <x:c r="F622" s="9" t="str">
        <x:v>裙装</x:v>
      </x:c>
      <x:c r="G622" s="9" t="str">
        <x:v>半身裙</x:v>
      </x:c>
      <x:c r="H622" s="9" t="str">
        <x:v>女</x:v>
      </x:c>
      <x:c r="I622" s="9" t="str">
        <x:v>【七七酱直播间】LIME莱茵气质网纱半裙春季法式腰带</x:v>
      </x:c>
      <x:c r="J622" s="9" t="str">
        <x:v>LIME</x:v>
      </x:c>
      <x:c r="K622" s="24" t="n">
        <x:v>1746.11</x:v>
      </x:c>
      <x:c r="L622" s="25" t="e">
        <x:f>HYPERLINK("https://item.taobao.com/item.htm?id=1027195543795","打开商品")</x:f>
        <x:v>HYPERLINK is not implemented. linkLocation=https://item.taobao.com/item.htm?id=1027195543795, friendlyName=打开商品</x:v>
      </x:c>
      <x:c r="M622" s="25" t="e">
        <x:f>HYPERLINK("https://data.zhiyitech.cn/itemDetail/overview/base?itemId=1027195543795","打开知衣")</x:f>
        <x:v>HYPERLINK is not implemented. linkLocation=https://data.zhiyitech.cn/itemDetail/overview/base?itemId=1027195543795, friendlyName=打开知衣</x:v>
      </x:c>
      <x:c r="N622" s="25" t="e">
        <x:f>HYPERLINK("https://img.alicdn.com/bao/uploaded/i1/2214733836071/O1CN01gymOt01uiZbkEb2YZ_!!4611686018427383591-0-item_pic.jpg","查看主图")</x:f>
        <x:v>HYPERLINK is not implemented. linkLocation=https://img.alicdn.com/bao/uploaded/i1/2214733836071/O1CN01gymOt01uiZbkEb2YZ_!!4611686018427383591-0-item_pic.jpg, friendlyName=查看主图</x:v>
      </x:c>
      <x:c r="O622" s="9" t="str">
        <x:v>标题及既有类目语义复核；【七七酱直播间】LIME莱茵气质网纱半裙春季法式腰带；原类目及标题已能确认半身裙；展示使用已知大类，未知裙长下沉到结构字段，不强猜长短。</x:v>
      </x:c>
      <x:c r="P622" s="9" t="str">
        <x:v>普通男女装</x:v>
      </x:c>
      <x:c r="Q622" s="9" t="str">
        <x:v>W_SKIRTS_AVGPAID_1700_1800_ANNUAL2026.xlsx</x:v>
      </x:c>
      <x:c r="R622" s="9" t="str">
        <x:v>默认</x:v>
      </x:c>
      <x:c r="S622" s="9" t="n">
        <x:v>141</x:v>
      </x:c>
      <x:c r="T622" s="9" t="str">
        <x:v>c25ed77c53c7c5cfcf728778a0e9b297d8689503f62756a939cbd534ca9b587a</x:v>
      </x:c>
      <x:c r="U622" s="9" t="str">
        <x:v>W_SKIRTS_AVGPAID_1700_1800_ANNUAL2026</x:v>
      </x:c>
      <x:c r="V622" s="9" t="str">
        <x:v>W_SKIRTS_AVGPAID_1700_1800_ANNUAL2026.xlsx / 默认 / 第141行 / SHA256 c25ed77c53c7c5cfcf728778a0e9b297d8689503f62756a939cbd534ca9b587a</x:v>
      </x:c>
    </x:row>
    <x:row r="623" ht="58" customHeight="1">
      <x:c r="A623" s="23" t="str">
        <x:v>1071716468245</x:v>
      </x:c>
      <x:c r="B623" s="22"/>
      <x:c r="C623" s="22"/>
      <x:c r="D623" s="22"/>
      <x:c r="E623" s="9" t="str">
        <x:v>裙长未明确</x:v>
      </x:c>
      <x:c r="F623" s="9" t="str">
        <x:v>裙装</x:v>
      </x:c>
      <x:c r="G623" s="9" t="str">
        <x:v>半身裙</x:v>
      </x:c>
      <x:c r="H623" s="9" t="str">
        <x:v>男女通用</x:v>
      </x:c>
      <x:c r="I623" s="9" t="str">
        <x:v>Lmuni Fa三木 "秋日暖阳"欧洲进口老钱复古绒面羊皮后开衩半身裙</x:v>
      </x:c>
      <x:c r="J623" s="9" t="str">
        <x:v>LMUNI FA</x:v>
      </x:c>
      <x:c r="K623" s="24" t="n">
        <x:v>1564.85</x:v>
      </x:c>
      <x:c r="L623" s="25" t="e">
        <x:f>HYPERLINK("https://item.taobao.com/item.htm?id=1071716468245","打开商品")</x:f>
        <x:v>HYPERLINK is not implemented. linkLocation=https://item.taobao.com/item.htm?id=1071716468245, friendlyName=打开商品</x:v>
      </x:c>
      <x:c r="M623" s="25" t="e">
        <x:f>HYPERLINK("https://data.zhiyitech.cn/itemDetail/overview/base?itemId=1071716468245","打开知衣")</x:f>
        <x:v>HYPERLINK is not implemented. linkLocation=https://data.zhiyitech.cn/itemDetail/overview/base?itemId=1071716468245, friendlyName=打开知衣</x:v>
      </x:c>
      <x:c r="N623" s="25" t="e">
        <x:f>HYPERLINK("https://img.alicdn.com/bao/uploaded/i4/1034600324/O1CN01RzKtVTo9WiC2vH2e_!!1034600324.jpg","查看主图")</x:f>
        <x:v>HYPERLINK is not implemented. linkLocation=https://img.alicdn.com/bao/uploaded/i4/1034600324/O1CN01RzKtVTo9WiC2vH2e_!!1034600324.jpg, friendlyName=查看主图</x:v>
      </x:c>
      <x:c r="O623" s="9" t="str">
        <x:v>标题及既有类目语义复核；Lmuni Fa三木 "秋日暖阳"欧洲进口老钱复古绒面羊皮后开衩半身裙；原类目及标题已能确认半身裙；展示使用已知大类，未知裙长下沉到结构字段，不强猜长短。</x:v>
      </x:c>
      <x:c r="P623" s="9" t="str">
        <x:v>普通男女装</x:v>
      </x:c>
      <x:c r="Q623" s="9" t="str">
        <x:v>W_SKIRTS_AVGPAID_1500_1600_ANNUAL2026.xlsx</x:v>
      </x:c>
      <x:c r="R623" s="9" t="str">
        <x:v>默认</x:v>
      </x:c>
      <x:c r="S623" s="9" t="n">
        <x:v>203</x:v>
      </x:c>
      <x:c r="T623" s="9" t="str">
        <x:v>deede8b56943df4f914be45dba170f12e69064023d6ef0e88dbde1764f6ba23e</x:v>
      </x:c>
      <x:c r="U623" s="9" t="str">
        <x:v>W_SKIRTS_AVGPAID_1500_1600_ANNUAL2026</x:v>
      </x:c>
      <x:c r="V623" s="9" t="str">
        <x:v>W_SKIRTS_AVGPAID_1500_1600_ANNUAL2026.xlsx / 默认 / 第203行 / SHA256 deede8b56943df4f914be45dba170f12e69064023d6ef0e88dbde1764f6ba23e</x:v>
      </x:c>
    </x:row>
    <x:row r="624" ht="58" customHeight="1">
      <x:c r="A624" s="23" t="str">
        <x:v>999207151275</x:v>
      </x:c>
      <x:c r="B624" s="22"/>
      <x:c r="C624" s="22"/>
      <x:c r="D624" s="22"/>
      <x:c r="E624" s="9" t="str">
        <x:v>裙长未明确</x:v>
      </x:c>
      <x:c r="F624" s="9" t="str">
        <x:v>裙装</x:v>
      </x:c>
      <x:c r="G624" s="9" t="str">
        <x:v>半身裙</x:v>
      </x:c>
      <x:c r="H624" s="9" t="str">
        <x:v>女</x:v>
      </x:c>
      <x:c r="I624" s="9" t="str">
        <x:v>Lmuni Fa三木  英国进口 摩登时尚不对称前开叉轻油蜡羊皮半身裙</x:v>
      </x:c>
      <x:c r="J624" s="9" t="str">
        <x:v>LMUNI FA</x:v>
      </x:c>
      <x:c r="K624" s="24" t="n">
        <x:v>1754.78</x:v>
      </x:c>
      <x:c r="L624" s="25" t="e">
        <x:f>HYPERLINK("https://item.taobao.com/item.htm?id=999207151275","打开商品")</x:f>
        <x:v>HYPERLINK is not implemented. linkLocation=https://item.taobao.com/item.htm?id=999207151275, friendlyName=打开商品</x:v>
      </x:c>
      <x:c r="M624" s="25" t="e">
        <x:f>HYPERLINK("https://data.zhiyitech.cn/itemDetail/overview/base?itemId=999207151275","打开知衣")</x:f>
        <x:v>HYPERLINK is not implemented. linkLocation=https://data.zhiyitech.cn/itemDetail/overview/base?itemId=999207151275, friendlyName=打开知衣</x:v>
      </x:c>
      <x:c r="N624" s="25" t="e">
        <x:f>HYPERLINK("https://img.alicdn.com/bao/uploaded/i4/1034600324/O1CN01NLBW3y1EGRR2X8tV8_!!1034600324.jpg","查看主图")</x:f>
        <x:v>HYPERLINK is not implemented. linkLocation=https://img.alicdn.com/bao/uploaded/i4/1034600324/O1CN01NLBW3y1EGRR2X8tV8_!!1034600324.jpg, friendlyName=查看主图</x:v>
      </x:c>
      <x:c r="O624" s="9" t="str">
        <x:v>标题及既有类目语义复核；Lmuni Fa三木  英国进口 摩登时尚不对称前开叉轻油蜡羊皮半身裙；原类目及标题已能确认半身裙；展示使用已知大类，未知裙长下沉到结构字段，不强猜长短。</x:v>
      </x:c>
      <x:c r="P624" s="9" t="str">
        <x:v>普通男女装</x:v>
      </x:c>
      <x:c r="Q624" s="9" t="str">
        <x:v>W_SKIRTS_AVGPAID_1700_1800_ANNUAL2026.xlsx</x:v>
      </x:c>
      <x:c r="R624" s="9" t="str">
        <x:v>默认</x:v>
      </x:c>
      <x:c r="S624" s="9" t="n">
        <x:v>146</x:v>
      </x:c>
      <x:c r="T624" s="9" t="str">
        <x:v>c25ed77c53c7c5cfcf728778a0e9b297d8689503f62756a939cbd534ca9b587a</x:v>
      </x:c>
      <x:c r="U624" s="9" t="str">
        <x:v>W_SKIRTS_AVGPAID_1700_1800_ANNUAL2026</x:v>
      </x:c>
      <x:c r="V624" s="9" t="str">
        <x:v>W_SKIRTS_AVGPAID_1700_1800_ANNUAL2026.xlsx / 默认 / 第146行 / SHA256 c25ed77c53c7c5cfcf728778a0e9b297d8689503f62756a939cbd534ca9b587a</x:v>
      </x:c>
    </x:row>
    <x:row r="625" ht="58" customHeight="1">
      <x:c r="A625" s="23" t="str">
        <x:v>1023721506036</x:v>
      </x:c>
      <x:c r="B625" s="22"/>
      <x:c r="C625" s="22"/>
      <x:c r="D625" s="22"/>
      <x:c r="E625" s="9" t="str">
        <x:v>裙长未明确</x:v>
      </x:c>
      <x:c r="F625" s="9" t="str">
        <x:v>裙装</x:v>
      </x:c>
      <x:c r="G625" s="9" t="str">
        <x:v>半身裙</x:v>
      </x:c>
      <x:c r="H625" s="9" t="str">
        <x:v>女</x:v>
      </x:c>
      <x:c r="I625" s="9" t="str">
        <x:v>AUTI SEMINARIO X LOOKNOW2026新品拼接抽绳长半裙</x:v>
      </x:c>
      <x:c r="J625" s="9" t="str">
        <x:v>LOOKNOW</x:v>
      </x:c>
      <x:c r="K625" s="24" t="n">
        <x:v>1794.22</x:v>
      </x:c>
      <x:c r="L625" s="25" t="e">
        <x:f>HYPERLINK("https://item.taobao.com/item.htm?id=1023721506036","打开商品")</x:f>
        <x:v>HYPERLINK is not implemented. linkLocation=https://item.taobao.com/item.htm?id=1023721506036, friendlyName=打开商品</x:v>
      </x:c>
      <x:c r="M625" s="25" t="e">
        <x:f>HYPERLINK("https://data.zhiyitech.cn/itemDetail/overview/base?itemId=1023721506036","打开知衣")</x:f>
        <x:v>HYPERLINK is not implemented. linkLocation=https://data.zhiyitech.cn/itemDetail/overview/base?itemId=1023721506036, friendlyName=打开知衣</x:v>
      </x:c>
      <x:c r="N625" s="25" t="e">
        <x:f>HYPERLINK("https://img.alicdn.com/bao/uploaded/i2/2211750014523/O1CN016g0kMlrD3wD2vH2e_!!2211750014523.jpg","查看主图")</x:f>
        <x:v>HYPERLINK is not implemented. linkLocation=https://img.alicdn.com/bao/uploaded/i2/2211750014523/O1CN016g0kMlrD3wD2vH2e_!!2211750014523.jpg, friendlyName=查看主图</x:v>
      </x:c>
      <x:c r="O625" s="9" t="str">
        <x:v>标题及既有类目语义复核；AUTI SEMINARIO X LOOKNOW2026新品拼接抽绳长半裙；原类目及标题已能确认半身裙；展示使用已知大类，未知裙长下沉到结构字段，不强猜长短。</x:v>
      </x:c>
      <x:c r="P625" s="9" t="str">
        <x:v>普通男女装</x:v>
      </x:c>
      <x:c r="Q625" s="9" t="str">
        <x:v>W_SKIRTS_AVGPAID_1700_1800_ANNUAL2026.xlsx</x:v>
      </x:c>
      <x:c r="R625" s="9" t="str">
        <x:v>默认</x:v>
      </x:c>
      <x:c r="S625" s="9" t="n">
        <x:v>494</x:v>
      </x:c>
      <x:c r="T625" s="9" t="str">
        <x:v>c25ed77c53c7c5cfcf728778a0e9b297d8689503f62756a939cbd534ca9b587a</x:v>
      </x:c>
      <x:c r="U625" s="9" t="str">
        <x:v>W_SKIRTS_AVGPAID_1700_1800_ANNUAL2026</x:v>
      </x:c>
      <x:c r="V625" s="9" t="str">
        <x:v>W_SKIRTS_AVGPAID_1700_1800_ANNUAL2026.xlsx / 默认 / 第494行 / SHA256 c25ed77c53c7c5cfcf728778a0e9b297d8689503f62756a939cbd534ca9b587a</x:v>
      </x:c>
    </x:row>
    <x:row r="626" ht="58" customHeight="1">
      <x:c r="A626" s="23" t="str">
        <x:v>1058304211201</x:v>
      </x:c>
      <x:c r="B626" s="22"/>
      <x:c r="C626" s="22"/>
      <x:c r="D626" s="22"/>
      <x:c r="E626" s="9" t="str">
        <x:v>裙长未明确</x:v>
      </x:c>
      <x:c r="F626" s="9" t="str">
        <x:v>裙装</x:v>
      </x:c>
      <x:c r="G626" s="9" t="str">
        <x:v>半身裙</x:v>
      </x:c>
      <x:c r="H626" s="9" t="str">
        <x:v>女</x:v>
      </x:c>
      <x:c r="I626" s="9" t="str">
        <x:v>IF BY LAND x LOOKNOW2026秋冬新品复古皮袢镂空针织半裙</x:v>
      </x:c>
      <x:c r="J626" s="9" t="str">
        <x:v>LOOKNOW</x:v>
      </x:c>
      <x:c r="K626" s="24" t="n">
        <x:v>1532.16</x:v>
      </x:c>
      <x:c r="L626" s="25" t="e">
        <x:f>HYPERLINK("https://item.taobao.com/item.htm?id=1058304211201","打开商品")</x:f>
        <x:v>HYPERLINK is not implemented. linkLocation=https://item.taobao.com/item.htm?id=1058304211201, friendlyName=打开商品</x:v>
      </x:c>
      <x:c r="M626" s="25" t="e">
        <x:f>HYPERLINK("https://data.zhiyitech.cn/itemDetail/overview/base?itemId=1058304211201","打开知衣")</x:f>
        <x:v>HYPERLINK is not implemented. linkLocation=https://data.zhiyitech.cn/itemDetail/overview/base?itemId=1058304211201, friendlyName=打开知衣</x:v>
      </x:c>
      <x:c r="N626" s="25" t="e">
        <x:f>HYPERLINK("https://img.alicdn.com/bao/uploaded/i1/2211750014523/O1CN01KXPr60dfISF2vH2e_!!4611686018427383355-0-item_pic.jpg","查看主图")</x:f>
        <x:v>HYPERLINK is not implemented. linkLocation=https://img.alicdn.com/bao/uploaded/i1/2211750014523/O1CN01KXPr60dfISF2vH2e_!!4611686018427383355-0-item_pic.jpg, friendlyName=查看主图</x:v>
      </x:c>
      <x:c r="O626" s="9" t="str">
        <x:v>标题及既有类目语义复核；IF BY LAND x LOOKNOW2026秋冬新品复古皮袢镂空针织半裙；原类目及标题已能确认半身裙；展示使用已知大类，未知裙长下沉到结构字段，不强猜长短。</x:v>
      </x:c>
      <x:c r="P626" s="9" t="str">
        <x:v>普通男女装</x:v>
      </x:c>
      <x:c r="Q626" s="9" t="str">
        <x:v>W_SKIRTS_AVGPAID_1500_1600_ANNUAL2026.xlsx</x:v>
      </x:c>
      <x:c r="R626" s="9" t="str">
        <x:v>默认</x:v>
      </x:c>
      <x:c r="S626" s="9" t="n">
        <x:v>410</x:v>
      </x:c>
      <x:c r="T626" s="9" t="str">
        <x:v>deede8b56943df4f914be45dba170f12e69064023d6ef0e88dbde1764f6ba23e</x:v>
      </x:c>
      <x:c r="U626" s="9" t="str">
        <x:v>W_SKIRTS_AVGPAID_1500_1600_ANNUAL2026</x:v>
      </x:c>
      <x:c r="V626" s="9" t="str">
        <x:v>W_SKIRTS_AVGPAID_1500_1600_ANNUAL2026.xlsx / 默认 / 第410行 / SHA256 deede8b56943df4f914be45dba170f12e69064023d6ef0e88dbde1764f6ba23e</x:v>
      </x:c>
    </x:row>
    <x:row r="627" ht="58" customHeight="1">
      <x:c r="A627" s="23" t="str">
        <x:v>926858354132</x:v>
      </x:c>
      <x:c r="B627" s="22"/>
      <x:c r="C627" s="22"/>
      <x:c r="D627" s="22"/>
      <x:c r="E627" s="9" t="str">
        <x:v>裙长未明确</x:v>
      </x:c>
      <x:c r="F627" s="9" t="str">
        <x:v>裙装</x:v>
      </x:c>
      <x:c r="G627" s="9" t="str">
        <x:v>半身裙</x:v>
      </x:c>
      <x:c r="H627" s="9" t="str">
        <x:v>女</x:v>
      </x:c>
      <x:c r="I627" s="9" t="str">
        <x:v>明星马思纯辛芷蕾钟楚曦同款if by landXLOOKNOW游牧风毛边半身裙</x:v>
      </x:c>
      <x:c r="J627" s="9" t="str">
        <x:v>LOOKNOW（服饰）</x:v>
      </x:c>
      <x:c r="K627" s="24" t="n">
        <x:v>1500.86</x:v>
      </x:c>
      <x:c r="L627" s="25" t="e">
        <x:f>HYPERLINK("https://item.taobao.com/item.htm?id=926858354132","打开商品")</x:f>
        <x:v>HYPERLINK is not implemented. linkLocation=https://item.taobao.com/item.htm?id=926858354132, friendlyName=打开商品</x:v>
      </x:c>
      <x:c r="M627" s="25" t="e">
        <x:f>HYPERLINK("https://data.zhiyitech.cn/itemDetail/overview/base?itemId=926858354132","打开知衣")</x:f>
        <x:v>HYPERLINK is not implemented. linkLocation=https://data.zhiyitech.cn/itemDetail/overview/base?itemId=926858354132, friendlyName=打开知衣</x:v>
      </x:c>
      <x:c r="N627" s="25" t="e">
        <x:f>HYPERLINK("https://img.alicdn.com/bao/uploaded/i1/2211750014523/O1CN018abbKVXozkC1chua_!!4611686018427383355-0-item_pic.jpg","查看主图")</x:f>
        <x:v>HYPERLINK is not implemented. linkLocation=https://img.alicdn.com/bao/uploaded/i1/2211750014523/O1CN018abbKVXozkC1chua_!!4611686018427383355-0-item_pic.jpg, friendlyName=查看主图</x:v>
      </x:c>
      <x:c r="O627" s="9" t="str">
        <x:v>标题及既有类目语义复核；明星马思纯辛芷蕾钟楚曦同款if by landXLOOKNOW游牧风毛边半身裙；原类目及标题已能确认半身裙；展示使用已知大类，未知裙长下沉到结构字段，不强猜长短。</x:v>
      </x:c>
      <x:c r="P627" s="9" t="str">
        <x:v>普通男女装</x:v>
      </x:c>
      <x:c r="Q627" s="9" t="str">
        <x:v>W_SKIRTS_AVGPAID_1500_1600_ANNUAL2026.xlsx</x:v>
      </x:c>
      <x:c r="R627" s="9" t="str">
        <x:v>默认</x:v>
      </x:c>
      <x:c r="S627" s="9" t="n">
        <x:v>208</x:v>
      </x:c>
      <x:c r="T627" s="9" t="str">
        <x:v>deede8b56943df4f914be45dba170f12e69064023d6ef0e88dbde1764f6ba23e</x:v>
      </x:c>
      <x:c r="U627" s="9" t="str">
        <x:v>W_SKIRTS_AVGPAID_1500_1600_ANNUAL2026</x:v>
      </x:c>
      <x:c r="V627" s="9" t="str">
        <x:v>W_SKIRTS_AVGPAID_1500_1600_ANNUAL2026.xlsx / 默认 / 第208行 / SHA256 deede8b56943df4f914be45dba170f12e69064023d6ef0e88dbde1764f6ba23e</x:v>
      </x:c>
    </x:row>
    <x:row r="628" ht="58" customHeight="1">
      <x:c r="A628" s="23" t="str">
        <x:v>1013048445170</x:v>
      </x:c>
      <x:c r="B628" s="22"/>
      <x:c r="C628" s="22"/>
      <x:c r="D628" s="22"/>
      <x:c r="E628" s="9" t="str">
        <x:v>裙长未明确</x:v>
      </x:c>
      <x:c r="F628" s="9" t="str">
        <x:v>裙装</x:v>
      </x:c>
      <x:c r="G628" s="9" t="str">
        <x:v>半身裙</x:v>
      </x:c>
      <x:c r="H628" s="9" t="str">
        <x:v>女</x:v>
      </x:c>
      <x:c r="I628" s="9" t="str">
        <x:v>【宇家】韩国代购*LUCKYCHOUETTE*26新 百搭格子半身裙LFKAS26110</x:v>
      </x:c>
      <x:c r="J628" s="9" t="str">
        <x:v>LUCKY CHOUETTE</x:v>
      </x:c>
      <x:c r="K628" s="24" t="n">
        <x:v>1318.52</x:v>
      </x:c>
      <x:c r="L628" s="25" t="e">
        <x:f>HYPERLINK("https://item.taobao.com/item.htm?id=1013048445170","打开商品")</x:f>
        <x:v>HYPERLINK is not implemented. linkLocation=https://item.taobao.com/item.htm?id=1013048445170, friendlyName=打开商品</x:v>
      </x:c>
      <x:c r="M628" s="25" t="e">
        <x:f>HYPERLINK("https://data.zhiyitech.cn/itemDetail/overview/base?itemId=1013048445170","打开知衣")</x:f>
        <x:v>HYPERLINK is not implemented. linkLocation=https://data.zhiyitech.cn/itemDetail/overview/base?itemId=1013048445170, friendlyName=打开知衣</x:v>
      </x:c>
      <x:c r="N628" s="25" t="e">
        <x:f>HYPERLINK("https://img.alicdn.com/bao/uploaded/i3/2275226041/O1CN01DrCZLH1uUpkcYzkYY_!!2275226041.jpg","查看主图")</x:f>
        <x:v>HYPERLINK is not implemented. linkLocation=https://img.alicdn.com/bao/uploaded/i3/2275226041/O1CN01DrCZLH1uUpkcYzkYY_!!2275226041.jpg, friendlyName=查看主图</x:v>
      </x:c>
      <x:c r="O628" s="9" t="str">
        <x:v>标题及既有类目语义复核；【宇家】韩国代购*LUCKYCHOUETTE*26新 百搭格子半身裙LFKAS26110；原类目及标题已能确认半身裙；展示使用已知大类，未知裙长下沉到结构字段，不强猜长短。</x:v>
      </x:c>
      <x:c r="P628" s="9" t="str">
        <x:v>普通男女装</x:v>
      </x:c>
      <x:c r="Q628" s="9" t="str">
        <x:v>W_SKIRTS_AVGPAID_1300_1400_ANNUAL2026.xlsx</x:v>
      </x:c>
      <x:c r="R628" s="9" t="str">
        <x:v>默认</x:v>
      </x:c>
      <x:c r="S628" s="9" t="n">
        <x:v>435</x:v>
      </x:c>
      <x:c r="T628" s="9" t="str">
        <x:v>bd4dae1e08e9eca7ddd0669235bf59107cdc418b9c2898fc16f36a7ab5748692</x:v>
      </x:c>
      <x:c r="U628" s="9" t="str">
        <x:v>W_SKIRTS_AVGPAID_1300_1400_ANNUAL2026</x:v>
      </x:c>
      <x:c r="V628" s="9" t="str">
        <x:v>W_SKIRTS_AVGPAID_1300_1400_ANNUAL2026.xlsx / 默认 / 第435行 / SHA256 bd4dae1e08e9eca7ddd0669235bf59107cdc418b9c2898fc16f36a7ab5748692</x:v>
      </x:c>
    </x:row>
    <x:row r="629" ht="58" customHeight="1">
      <x:c r="A629" s="23" t="str">
        <x:v>961719638239</x:v>
      </x:c>
      <x:c r="B629" s="22"/>
      <x:c r="C629" s="22"/>
      <x:c r="D629" s="22"/>
      <x:c r="E629" s="9" t="str">
        <x:v>裙长未明确</x:v>
      </x:c>
      <x:c r="F629" s="9" t="str">
        <x:v>裙装</x:v>
      </x:c>
      <x:c r="G629" s="9" t="str">
        <x:v>半身裙</x:v>
      </x:c>
      <x:c r="H629" s="9" t="str">
        <x:v>女</x:v>
      </x:c>
      <x:c r="I629" s="9" t="str">
        <x:v>年华丨LUOJIAWANG丨红色褶皱工艺复古花苞真皮裙半身裙女秋</x:v>
      </x:c>
      <x:c r="J629" s="9" t="str">
        <x:v>LUOJIAWANG</x:v>
      </x:c>
      <x:c r="K629" s="24" t="n">
        <x:v>1355.97</x:v>
      </x:c>
      <x:c r="L629" s="25" t="e">
        <x:f>HYPERLINK("https://item.taobao.com/item.htm?id=961719638239","打开商品")</x:f>
        <x:v>HYPERLINK is not implemented. linkLocation=https://item.taobao.com/item.htm?id=961719638239, friendlyName=打开商品</x:v>
      </x:c>
      <x:c r="M629" s="25" t="e">
        <x:f>HYPERLINK("https://data.zhiyitech.cn/itemDetail/overview/base?itemId=961719638239","打开知衣")</x:f>
        <x:v>HYPERLINK is not implemented. linkLocation=https://data.zhiyitech.cn/itemDetail/overview/base?itemId=961719638239, friendlyName=打开知衣</x:v>
      </x:c>
      <x:c r="N629" s="25" t="e">
        <x:f>HYPERLINK("https://img.alicdn.com/bao/uploaded/i3/1012855235/O1CN010H9M5a1oXgVfRPL4G_!!1012855235.jpg","查看主图")</x:f>
        <x:v>HYPERLINK is not implemented. linkLocation=https://img.alicdn.com/bao/uploaded/i3/1012855235/O1CN010H9M5a1oXgVfRPL4G_!!1012855235.jpg, friendlyName=查看主图</x:v>
      </x:c>
      <x:c r="O629" s="9" t="str">
        <x:v>标题及既有类目语义复核；年华丨LUOJIAWANG丨红色褶皱工艺复古花苞真皮裙半身裙女秋；原类目及标题已能确认半身裙；展示使用已知大类，未知裙长下沉到结构字段，不强猜长短。</x:v>
      </x:c>
      <x:c r="P629" s="9" t="str">
        <x:v>普通男女装</x:v>
      </x:c>
      <x:c r="Q629" s="9" t="str">
        <x:v>W_SKIRTS_AVGPAID_1300_1400_ANNUAL2026.xlsx</x:v>
      </x:c>
      <x:c r="R629" s="9" t="str">
        <x:v>默认</x:v>
      </x:c>
      <x:c r="S629" s="9" t="n">
        <x:v>369</x:v>
      </x:c>
      <x:c r="T629" s="9" t="str">
        <x:v>bd4dae1e08e9eca7ddd0669235bf59107cdc418b9c2898fc16f36a7ab5748692</x:v>
      </x:c>
      <x:c r="U629" s="9" t="str">
        <x:v>W_SKIRTS_AVGPAID_1300_1400_ANNUAL2026</x:v>
      </x:c>
      <x:c r="V629" s="9" t="str">
        <x:v>W_SKIRTS_AVGPAID_1300_1400_ANNUAL2026.xlsx / 默认 / 第369行 / SHA256 bd4dae1e08e9eca7ddd0669235bf59107cdc418b9c2898fc16f36a7ab5748692</x:v>
      </x:c>
    </x:row>
    <x:row r="630" ht="58" customHeight="1">
      <x:c r="A630" s="23" t="str">
        <x:v>1078720353538</x:v>
      </x:c>
      <x:c r="B630" s="22"/>
      <x:c r="C630" s="22"/>
      <x:c r="D630" s="22"/>
      <x:c r="E630" s="9" t="str">
        <x:v>裙长未明确</x:v>
      </x:c>
      <x:c r="F630" s="9" t="str">
        <x:v>裙装</x:v>
      </x:c>
      <x:c r="G630" s="9" t="str">
        <x:v>半身裙</x:v>
      </x:c>
      <x:c r="H630" s="9" t="str">
        <x:v>女</x:v>
      </x:c>
      <x:c r="I630" s="9" t="str">
        <x:v>LYNEE黑标摩登真皮肌理半裙</x:v>
      </x:c>
      <x:c r="J630" s="9" t="str">
        <x:v>LYNEE</x:v>
      </x:c>
      <x:c r="K630" s="24" t="n">
        <x:v>1335.04</x:v>
      </x:c>
      <x:c r="L630" s="25" t="e">
        <x:f>HYPERLINK("https://item.taobao.com/item.htm?id=1078720353538","打开商品")</x:f>
        <x:v>HYPERLINK is not implemented. linkLocation=https://item.taobao.com/item.htm?id=1078720353538, friendlyName=打开商品</x:v>
      </x:c>
      <x:c r="M630" s="25" t="e">
        <x:f>HYPERLINK("https://data.zhiyitech.cn/itemDetail/overview/base?itemId=1078720353538","打开知衣")</x:f>
        <x:v>HYPERLINK is not implemented. linkLocation=https://data.zhiyitech.cn/itemDetail/overview/base?itemId=1078720353538, friendlyName=打开知衣</x:v>
      </x:c>
      <x:c r="N630" s="25" t="e">
        <x:f>HYPERLINK("https://img.alicdn.com/bao/uploaded/i3/2212233244337/O1CN01YxC4ubusuqL2vH2e_!!2212233244337.jpg","查看主图")</x:f>
        <x:v>HYPERLINK is not implemented. linkLocation=https://img.alicdn.com/bao/uploaded/i3/2212233244337/O1CN01YxC4ubusuqL2vH2e_!!2212233244337.jpg, friendlyName=查看主图</x:v>
      </x:c>
      <x:c r="O630" s="9" t="str">
        <x:v>标题及既有类目语义复核；LYNEE黑标摩登真皮肌理半裙；原类目及标题已能确认半身裙；展示使用已知大类，未知裙长下沉到结构字段，不强猜长短。</x:v>
      </x:c>
      <x:c r="P630" s="9" t="str">
        <x:v>普通男女装</x:v>
      </x:c>
      <x:c r="Q630" s="9" t="str">
        <x:v>W_SKIRTS_AVGPAID_1300_1400_ANNUAL2026.xlsx</x:v>
      </x:c>
      <x:c r="R630" s="9" t="str">
        <x:v>默认</x:v>
      </x:c>
      <x:c r="S630" s="9" t="n">
        <x:v>295</x:v>
      </x:c>
      <x:c r="T630" s="9" t="str">
        <x:v>bd4dae1e08e9eca7ddd0669235bf59107cdc418b9c2898fc16f36a7ab5748692</x:v>
      </x:c>
      <x:c r="U630" s="9" t="str">
        <x:v>W_SKIRTS_AVGPAID_1300_1400_ANNUAL2026</x:v>
      </x:c>
      <x:c r="V630" s="9" t="str">
        <x:v>W_SKIRTS_AVGPAID_1300_1400_ANNUAL2026.xlsx / 默认 / 第295行 / SHA256 bd4dae1e08e9eca7ddd0669235bf59107cdc418b9c2898fc16f36a7ab5748692</x:v>
      </x:c>
    </x:row>
    <x:row r="631" ht="58" customHeight="1">
      <x:c r="A631" s="23" t="str">
        <x:v>1044414711421</x:v>
      </x:c>
      <x:c r="B631" s="22"/>
      <x:c r="C631" s="22"/>
      <x:c r="D631" s="22"/>
      <x:c r="E631" s="9" t="str">
        <x:v>裙长未明确</x:v>
      </x:c>
      <x:c r="F631" s="9" t="str">
        <x:v>裙装</x:v>
      </x:c>
      <x:c r="G631" s="9" t="str">
        <x:v>半身裙</x:v>
      </x:c>
      <x:c r="H631" s="9" t="str">
        <x:v>女</x:v>
      </x:c>
      <x:c r="I631" s="9" t="str">
        <x:v>Maison Wester2026夏新款米白蕾丝高腰荷叶边蛋糕裙甜妹风半身裙</x:v>
      </x:c>
      <x:c r="J631" s="9" t="str">
        <x:v>MAISON WESTER</x:v>
      </x:c>
      <x:c r="K631" s="24" t="n">
        <x:v>1732.44</x:v>
      </x:c>
      <x:c r="L631" s="25" t="e">
        <x:f>HYPERLINK("https://item.taobao.com/item.htm?id=1044414711421","打开商品")</x:f>
        <x:v>HYPERLINK is not implemented. linkLocation=https://item.taobao.com/item.htm?id=1044414711421, friendlyName=打开商品</x:v>
      </x:c>
      <x:c r="M631" s="25" t="e">
        <x:f>HYPERLINK("https://data.zhiyitech.cn/itemDetail/overview/base?itemId=1044414711421","打开知衣")</x:f>
        <x:v>HYPERLINK is not implemented. linkLocation=https://data.zhiyitech.cn/itemDetail/overview/base?itemId=1044414711421, friendlyName=打开知衣</x:v>
      </x:c>
      <x:c r="N631" s="25" t="e">
        <x:f>HYPERLINK("https://img.alicdn.com/bao/uploaded/i4/2213043806639/O1CN017PMByb1yuicNbdUFc_!!4611686018427380143-0-item_pic.jpg","查看主图")</x:f>
        <x:v>HYPERLINK is not implemented. linkLocation=https://img.alicdn.com/bao/uploaded/i4/2213043806639/O1CN017PMByb1yuicNbdUFc_!!4611686018427380143-0-item_pic.jpg, friendlyName=查看主图</x:v>
      </x:c>
      <x:c r="O631" s="9" t="str">
        <x:v>标题及既有类目语义复核；Maison Wester2026夏新款米白蕾丝高腰荷叶边蛋糕裙甜妹风半身裙；原类目及标题已能确认半身裙；展示使用已知大类，未知裙长下沉到结构字段，不强猜长短。</x:v>
      </x:c>
      <x:c r="P631" s="9" t="str">
        <x:v>普通男女装</x:v>
      </x:c>
      <x:c r="Q631" s="9" t="str">
        <x:v>W_SKIRTS_AVGPAID_1700_1800_ANNUAL2026.xlsx</x:v>
      </x:c>
      <x:c r="R631" s="9" t="str">
        <x:v>默认</x:v>
      </x:c>
      <x:c r="S631" s="9" t="n">
        <x:v>467</x:v>
      </x:c>
      <x:c r="T631" s="9" t="str">
        <x:v>c25ed77c53c7c5cfcf728778a0e9b297d8689503f62756a939cbd534ca9b587a</x:v>
      </x:c>
      <x:c r="U631" s="9" t="str">
        <x:v>W_SKIRTS_AVGPAID_1700_1800_ANNUAL2026</x:v>
      </x:c>
      <x:c r="V631" s="9" t="str">
        <x:v>W_SKIRTS_AVGPAID_1700_1800_ANNUAL2026.xlsx / 默认 / 第467行 / SHA256 c25ed77c53c7c5cfcf728778a0e9b297d8689503f62756a939cbd534ca9b587a</x:v>
      </x:c>
    </x:row>
    <x:row r="632" ht="58" customHeight="1">
      <x:c r="A632" s="23" t="str">
        <x:v>1003137488396</x:v>
      </x:c>
      <x:c r="B632" s="22"/>
      <x:c r="C632" s="22"/>
      <x:c r="D632" s="22"/>
      <x:c r="E632" s="9" t="str">
        <x:v>裙长未明确</x:v>
      </x:c>
      <x:c r="F632" s="9" t="str">
        <x:v>裙装</x:v>
      </x:c>
      <x:c r="G632" s="9" t="str">
        <x:v>半身裙</x:v>
      </x:c>
      <x:c r="H632" s="9" t="str">
        <x:v>女</x:v>
      </x:c>
      <x:c r="I632" s="9" t="str">
        <x:v>Maje法式镂空褶皱多层荷叶边半裙</x:v>
      </x:c>
      <x:c r="J632" s="9" t="str">
        <x:v>MAJE</x:v>
      </x:c>
      <x:c r="K632" s="24" t="n">
        <x:v>1728.88</x:v>
      </x:c>
      <x:c r="L632" s="25" t="e">
        <x:f>HYPERLINK("https://item.taobao.com/item.htm?id=1003137488396","打开商品")</x:f>
        <x:v>HYPERLINK is not implemented. linkLocation=https://item.taobao.com/item.htm?id=1003137488396, friendlyName=打开商品</x:v>
      </x:c>
      <x:c r="M632" s="25" t="e">
        <x:f>HYPERLINK("https://data.zhiyitech.cn/itemDetail/overview/base?itemId=1003137488396","打开知衣")</x:f>
        <x:v>HYPERLINK is not implemented. linkLocation=https://data.zhiyitech.cn/itemDetail/overview/base?itemId=1003137488396, friendlyName=打开知衣</x:v>
      </x:c>
      <x:c r="N632" s="25" t="e">
        <x:f>HYPERLINK("https://img.alicdn.com/bao/uploaded/i1/2844096782/O1CN01aCUOHiA4PhE2vH2e_!!4611686018427386126-0-item_pic.jpg","查看主图")</x:f>
        <x:v>HYPERLINK is not implemented. linkLocation=https://img.alicdn.com/bao/uploaded/i1/2844096782/O1CN01aCUOHiA4PhE2vH2e_!!4611686018427386126-0-item_pic.jpg, friendlyName=查看主图</x:v>
      </x:c>
      <x:c r="O632" s="9" t="str">
        <x:v>标题及既有类目语义复核；Maje法式镂空褶皱多层荷叶边半裙；原类目及标题已能确认半身裙；展示使用已知大类，未知裙长下沉到结构字段，不强猜长短。</x:v>
      </x:c>
      <x:c r="P632" s="9" t="str">
        <x:v>普通男女装</x:v>
      </x:c>
      <x:c r="Q632" s="9" t="str">
        <x:v>W_SKIRTS_AVGPAID_1700_1800_ANNUAL2026.xlsx</x:v>
      </x:c>
      <x:c r="R632" s="9" t="str">
        <x:v>默认</x:v>
      </x:c>
      <x:c r="S632" s="9" t="n">
        <x:v>156</x:v>
      </x:c>
      <x:c r="T632" s="9" t="str">
        <x:v>c25ed77c53c7c5cfcf728778a0e9b297d8689503f62756a939cbd534ca9b587a</x:v>
      </x:c>
      <x:c r="U632" s="9" t="str">
        <x:v>W_SKIRTS_AVGPAID_1700_1800_ANNUAL2026</x:v>
      </x:c>
      <x:c r="V632" s="9" t="str">
        <x:v>W_SKIRTS_AVGPAID_1700_1800_ANNUAL2026.xlsx / 默认 / 第156行 / SHA256 c25ed77c53c7c5cfcf728778a0e9b297d8689503f62756a939cbd534ca9b587a</x:v>
      </x:c>
    </x:row>
    <x:row r="633" ht="58" customHeight="1">
      <x:c r="A633" s="23" t="str">
        <x:v>961698827931</x:v>
      </x:c>
      <x:c r="B633" s="22"/>
      <x:c r="C633" s="22"/>
      <x:c r="D633" s="22"/>
      <x:c r="E633" s="9" t="str">
        <x:v>裙长未明确</x:v>
      </x:c>
      <x:c r="F633" s="9" t="str">
        <x:v>裙装</x:v>
      </x:c>
      <x:c r="G633" s="9" t="str">
        <x:v>半身裙</x:v>
      </x:c>
      <x:c r="H633" s="9" t="str">
        <x:v>女</x:v>
      </x:c>
      <x:c r="I633" s="9" t="str">
        <x:v>Maje商场同款春夏款女装法式气质清柔美撞色条纹仿钻装饰半身裙</x:v>
      </x:c>
      <x:c r="J633" s="9" t="str">
        <x:v>MAJE</x:v>
      </x:c>
      <x:c r="K633" s="24" t="n">
        <x:v>1305.69</x:v>
      </x:c>
      <x:c r="L633" s="25" t="e">
        <x:f>HYPERLINK("https://item.taobao.com/item.htm?id=961698827931","打开商品")</x:f>
        <x:v>HYPERLINK is not implemented. linkLocation=https://item.taobao.com/item.htm?id=961698827931, friendlyName=打开商品</x:v>
      </x:c>
      <x:c r="M633" s="25" t="e">
        <x:f>HYPERLINK("https://data.zhiyitech.cn/itemDetail/overview/base?itemId=961698827931","打开知衣")</x:f>
        <x:v>HYPERLINK is not implemented. linkLocation=https://data.zhiyitech.cn/itemDetail/overview/base?itemId=961698827931, friendlyName=打开知衣</x:v>
      </x:c>
      <x:c r="N633" s="25" t="e">
        <x:f>HYPERLINK("https://img.alicdn.com/bao/uploaded/i4/2844096782/O1CN01YiyIBVf37mL1chua_!!2844096782.jpg","查看主图")</x:f>
        <x:v>HYPERLINK is not implemented. linkLocation=https://img.alicdn.com/bao/uploaded/i4/2844096782/O1CN01YiyIBVf37mL1chua_!!2844096782.jpg, friendlyName=查看主图</x:v>
      </x:c>
      <x:c r="O633" s="9" t="str">
        <x:v>标题及既有类目语义复核；Maje商场同款春夏款女装法式气质清柔美撞色条纹仿钻装饰半身裙；原类目及标题已能确认半身裙；展示使用已知大类，未知裙长下沉到结构字段，不强猜长短。</x:v>
      </x:c>
      <x:c r="P633" s="9" t="str">
        <x:v>普通男女装</x:v>
      </x:c>
      <x:c r="Q633" s="9" t="str">
        <x:v>W_SKIRTS_AVGPAID_1300_1400_ANNUAL2026.xlsx</x:v>
      </x:c>
      <x:c r="R633" s="9" t="str">
        <x:v>默认</x:v>
      </x:c>
      <x:c r="S633" s="9" t="n">
        <x:v>157</x:v>
      </x:c>
      <x:c r="T633" s="9" t="str">
        <x:v>bd4dae1e08e9eca7ddd0669235bf59107cdc418b9c2898fc16f36a7ab5748692</x:v>
      </x:c>
      <x:c r="U633" s="9" t="str">
        <x:v>W_SKIRTS_AVGPAID_1300_1400_ANNUAL2026</x:v>
      </x:c>
      <x:c r="V633" s="9" t="str">
        <x:v>W_SKIRTS_AVGPAID_1300_1400_ANNUAL2026.xlsx / 默认 / 第157行 / SHA256 bd4dae1e08e9eca7ddd0669235bf59107cdc418b9c2898fc16f36a7ab5748692</x:v>
      </x:c>
    </x:row>
    <x:row r="634" ht="58" customHeight="1">
      <x:c r="A634" s="23" t="str">
        <x:v>967336390986</x:v>
      </x:c>
      <x:c r="B634" s="22"/>
      <x:c r="C634" s="22"/>
      <x:c r="D634" s="22"/>
      <x:c r="E634" s="9" t="str">
        <x:v>裙长未明确</x:v>
      </x:c>
      <x:c r="F634" s="9" t="str">
        <x:v>裙装</x:v>
      </x:c>
      <x:c r="G634" s="9" t="str">
        <x:v>半身裙</x:v>
      </x:c>
      <x:c r="H634" s="9" t="str">
        <x:v>女</x:v>
      </x:c>
      <x:c r="I634" s="9" t="str">
        <x:v>【奢享特惠】Maje商场同款春夏款女装休闲灵动高腰百褶牛仔半裙</x:v>
      </x:c>
      <x:c r="J634" s="9" t="str">
        <x:v>MAJE</x:v>
      </x:c>
      <x:c r="K634" s="24" t="n">
        <x:v>1364</x:v>
      </x:c>
      <x:c r="L634" s="25" t="e">
        <x:f>HYPERLINK("https://item.taobao.com/item.htm?id=967336390986","打开商品")</x:f>
        <x:v>HYPERLINK is not implemented. linkLocation=https://item.taobao.com/item.htm?id=967336390986, friendlyName=打开商品</x:v>
      </x:c>
      <x:c r="M634" s="25" t="e">
        <x:f>HYPERLINK("https://data.zhiyitech.cn/itemDetail/overview/base?itemId=967336390986","打开知衣")</x:f>
        <x:v>HYPERLINK is not implemented. linkLocation=https://data.zhiyitech.cn/itemDetail/overview/base?itemId=967336390986, friendlyName=打开知衣</x:v>
      </x:c>
      <x:c r="N634" s="25" t="e">
        <x:f>HYPERLINK("https://img.alicdn.com/bao/uploaded/i4/2844096782/O1CN01QazC72tySdI1chua_!!2844096782.jpg","查看主图")</x:f>
        <x:v>HYPERLINK is not implemented. linkLocation=https://img.alicdn.com/bao/uploaded/i4/2844096782/O1CN01QazC72tySdI1chua_!!2844096782.jpg, friendlyName=查看主图</x:v>
      </x:c>
      <x:c r="O634" s="9" t="str">
        <x:v>标题及既有类目语义复核；【奢享特惠】Maje商场同款春夏款女装休闲灵动高腰百褶牛仔半裙；原类目及标题已能确认半身裙；展示使用已知大类，未知裙长下沉到结构字段，不强猜长短。</x:v>
      </x:c>
      <x:c r="P634" s="9" t="str">
        <x:v>普通男女装</x:v>
      </x:c>
      <x:c r="Q634" s="9" t="str">
        <x:v>W_SKIRTS_AVGPAID_1300_1400_ANNUAL2026.xlsx</x:v>
      </x:c>
      <x:c r="R634" s="9" t="str">
        <x:v>默认</x:v>
      </x:c>
      <x:c r="S634" s="9" t="n">
        <x:v>469</x:v>
      </x:c>
      <x:c r="T634" s="9" t="str">
        <x:v>bd4dae1e08e9eca7ddd0669235bf59107cdc418b9c2898fc16f36a7ab5748692</x:v>
      </x:c>
      <x:c r="U634" s="9" t="str">
        <x:v>W_SKIRTS_AVGPAID_1300_1400_ANNUAL2026</x:v>
      </x:c>
      <x:c r="V634" s="9" t="str">
        <x:v>W_SKIRTS_AVGPAID_1300_1400_ANNUAL2026.xlsx / 默认 / 第469行 / SHA256 bd4dae1e08e9eca7ddd0669235bf59107cdc418b9c2898fc16f36a7ab5748692</x:v>
      </x:c>
    </x:row>
    <x:row r="635" ht="58" customHeight="1">
      <x:c r="A635" s="23" t="str">
        <x:v>844101746776</x:v>
      </x:c>
      <x:c r="B635" s="22"/>
      <x:c r="C635" s="22"/>
      <x:c r="D635" s="22"/>
      <x:c r="E635" s="9" t="str">
        <x:v>裙长未明确</x:v>
      </x:c>
      <x:c r="F635" s="9" t="str">
        <x:v>裙装</x:v>
      </x:c>
      <x:c r="G635" s="9" t="str">
        <x:v>半身裙</x:v>
      </x:c>
      <x:c r="H635" s="9" t="str">
        <x:v>女</x:v>
      </x:c>
      <x:c r="I635" s="9" t="str">
        <x:v>曼迪妈 无名雅致 100%山羊绒高腰A字裙灰色百搭优雅半身裙秋冬新</x:v>
      </x:c>
      <x:c r="J635" s="9" t="str">
        <x:v>MANDYSHEN</x:v>
      </x:c>
      <x:c r="K635" s="24" t="n">
        <x:v>1775.97</x:v>
      </x:c>
      <x:c r="L635" s="25" t="e">
        <x:f>HYPERLINK("https://item.taobao.com/item.htm?id=844101746776","打开商品")</x:f>
        <x:v>HYPERLINK is not implemented. linkLocation=https://item.taobao.com/item.htm?id=844101746776, friendlyName=打开商品</x:v>
      </x:c>
      <x:c r="M635" s="25" t="e">
        <x:f>HYPERLINK("https://data.zhiyitech.cn/itemDetail/overview/base?itemId=844101746776","打开知衣")</x:f>
        <x:v>HYPERLINK is not implemented. linkLocation=https://data.zhiyitech.cn/itemDetail/overview/base?itemId=844101746776, friendlyName=打开知衣</x:v>
      </x:c>
      <x:c r="N635" s="25" t="e">
        <x:f>HYPERLINK("https://img.alicdn.com/bao/uploaded/i4/89012003/O1CN01msti921QfQJqvepmN_!!89012003.jpg","查看主图")</x:f>
        <x:v>HYPERLINK is not implemented. linkLocation=https://img.alicdn.com/bao/uploaded/i4/89012003/O1CN01msti921QfQJqvepmN_!!89012003.jpg, friendlyName=查看主图</x:v>
      </x:c>
      <x:c r="O635" s="9" t="str">
        <x:v>标题及既有类目语义复核；曼迪妈 无名雅致 100%山羊绒高腰A字裙灰色百搭优雅半身裙秋冬新；原类目及标题已能确认半身裙；展示使用已知大类，未知裙长下沉到结构字段，不强猜长短。</x:v>
      </x:c>
      <x:c r="P635" s="9" t="str">
        <x:v>普通男女装</x:v>
      </x:c>
      <x:c r="Q635" s="9" t="str">
        <x:v>W_SKIRTS_AVGPAID_1700_1800_ANNUAL2026.xlsx</x:v>
      </x:c>
      <x:c r="R635" s="9" t="str">
        <x:v>默认</x:v>
      </x:c>
      <x:c r="S635" s="9" t="n">
        <x:v>93</x:v>
      </x:c>
      <x:c r="T635" s="9" t="str">
        <x:v>c25ed77c53c7c5cfcf728778a0e9b297d8689503f62756a939cbd534ca9b587a</x:v>
      </x:c>
      <x:c r="U635" s="9" t="str">
        <x:v>W_SKIRTS_AVGPAID_1700_1800_ANNUAL2026</x:v>
      </x:c>
      <x:c r="V635" s="9" t="str">
        <x:v>W_SKIRTS_AVGPAID_1700_1800_ANNUAL2026.xlsx / 默认 / 第93行 / SHA256 c25ed77c53c7c5cfcf728778a0e9b297d8689503f62756a939cbd534ca9b587a</x:v>
      </x:c>
    </x:row>
    <x:row r="636" ht="58" customHeight="1">
      <x:c r="A636" s="23" t="str">
        <x:v>850197022236</x:v>
      </x:c>
      <x:c r="B636" s="22"/>
      <x:c r="C636" s="22"/>
      <x:c r="D636" s="22"/>
      <x:c r="E636" s="9" t="str">
        <x:v>裙长未明确</x:v>
      </x:c>
      <x:c r="F636" s="9" t="str">
        <x:v>裙装</x:v>
      </x:c>
      <x:c r="G636" s="9" t="str">
        <x:v>半身裙</x:v>
      </x:c>
      <x:c r="H636" s="9" t="str">
        <x:v>女</x:v>
      </x:c>
      <x:c r="I636" s="9" t="str">
        <x:v>曼迪妈“格格裙”意大利进口羊皮真皮绗缝皮裙时髦百搭半身裙女冬</x:v>
      </x:c>
      <x:c r="J636" s="9" t="str">
        <x:v>MANDYSHEN</x:v>
      </x:c>
      <x:c r="K636" s="24" t="n">
        <x:v>1317.18</x:v>
      </x:c>
      <x:c r="L636" s="25" t="e">
        <x:f>HYPERLINK("https://item.taobao.com/item.htm?id=850197022236","打开商品")</x:f>
        <x:v>HYPERLINK is not implemented. linkLocation=https://item.taobao.com/item.htm?id=850197022236, friendlyName=打开商品</x:v>
      </x:c>
      <x:c r="M636" s="25" t="e">
        <x:f>HYPERLINK("https://data.zhiyitech.cn/itemDetail/overview/base?itemId=850197022236","打开知衣")</x:f>
        <x:v>HYPERLINK is not implemented. linkLocation=https://data.zhiyitech.cn/itemDetail/overview/base?itemId=850197022236, friendlyName=打开知衣</x:v>
      </x:c>
      <x:c r="N636" s="25" t="e">
        <x:f>HYPERLINK("https://img.alicdn.com/bao/uploaded/i1/89012003/O1CN01FcRC7i1QfQKLZbqGm_!!89012003.jpg","查看主图")</x:f>
        <x:v>HYPERLINK is not implemented. linkLocation=https://img.alicdn.com/bao/uploaded/i1/89012003/O1CN01FcRC7i1QfQKLZbqGm_!!89012003.jpg, friendlyName=查看主图</x:v>
      </x:c>
      <x:c r="O636" s="9" t="str">
        <x:v>标题及既有类目语义复核；曼迪妈“格格裙”意大利进口羊皮真皮绗缝皮裙时髦百搭半身裙女冬；原类目及标题已能确认半身裙；展示使用已知大类，未知裙长下沉到结构字段，不强猜长短。</x:v>
      </x:c>
      <x:c r="P636" s="9" t="str">
        <x:v>普通男女装</x:v>
      </x:c>
      <x:c r="Q636" s="9" t="str">
        <x:v>W_SKIRTS_AVGPAID_1300_1400_ANNUAL2026.xlsx</x:v>
      </x:c>
      <x:c r="R636" s="9" t="str">
        <x:v>默认</x:v>
      </x:c>
      <x:c r="S636" s="9" t="n">
        <x:v>233</x:v>
      </x:c>
      <x:c r="T636" s="9" t="str">
        <x:v>bd4dae1e08e9eca7ddd0669235bf59107cdc418b9c2898fc16f36a7ab5748692</x:v>
      </x:c>
      <x:c r="U636" s="9" t="str">
        <x:v>W_SKIRTS_AVGPAID_1300_1400_ANNUAL2026</x:v>
      </x:c>
      <x:c r="V636" s="9" t="str">
        <x:v>W_SKIRTS_AVGPAID_1300_1400_ANNUAL2026.xlsx / 默认 / 第233行 / SHA256 bd4dae1e08e9eca7ddd0669235bf59107cdc418b9c2898fc16f36a7ab5748692</x:v>
      </x:c>
    </x:row>
    <x:row r="637" ht="58" customHeight="1">
      <x:c r="A637" s="23" t="str">
        <x:v>961316920470</x:v>
      </x:c>
      <x:c r="B637" s="22"/>
      <x:c r="C637" s="22"/>
      <x:c r="D637" s="22"/>
      <x:c r="E637" s="9" t="str">
        <x:v>裙长未明确</x:v>
      </x:c>
      <x:c r="F637" s="9" t="str">
        <x:v>裙装</x:v>
      </x:c>
      <x:c r="G637" s="9" t="str">
        <x:v>半身裙</x:v>
      </x:c>
      <x:c r="H637" s="9" t="str">
        <x:v>女</x:v>
      </x:c>
      <x:c r="I637" s="9" t="str">
        <x:v>曼迪妈 精致一片裙 进口头层特种山羊皮质感绒面皮A字真皮半身裙</x:v>
      </x:c>
      <x:c r="J637" s="9" t="str">
        <x:v>MANDYSHEN</x:v>
      </x:c>
      <x:c r="K637" s="24" t="n">
        <x:v>1346.34</x:v>
      </x:c>
      <x:c r="L637" s="25" t="e">
        <x:f>HYPERLINK("https://item.taobao.com/item.htm?id=961316920470","打开商品")</x:f>
        <x:v>HYPERLINK is not implemented. linkLocation=https://item.taobao.com/item.htm?id=961316920470, friendlyName=打开商品</x:v>
      </x:c>
      <x:c r="M637" s="25" t="e">
        <x:f>HYPERLINK("https://data.zhiyitech.cn/itemDetail/overview/base?itemId=961316920470","打开知衣")</x:f>
        <x:v>HYPERLINK is not implemented. linkLocation=https://data.zhiyitech.cn/itemDetail/overview/base?itemId=961316920470, friendlyName=打开知衣</x:v>
      </x:c>
      <x:c r="N637" s="25" t="e">
        <x:f>HYPERLINK("https://img.alicdn.com/bao/uploaded/i3/89012003/O1CN01itz4zA1QfQOqgnDSd_!!89012003.jpg","查看主图")</x:f>
        <x:v>HYPERLINK is not implemented. linkLocation=https://img.alicdn.com/bao/uploaded/i3/89012003/O1CN01itz4zA1QfQOqgnDSd_!!89012003.jpg, friendlyName=查看主图</x:v>
      </x:c>
      <x:c r="O637" s="9" t="str">
        <x:v>标题及既有类目语义复核；曼迪妈 精致一片裙 进口头层特种山羊皮质感绒面皮A字真皮半身裙；原类目及标题已能确认半身裙；展示使用已知大类，未知裙长下沉到结构字段，不强猜长短。</x:v>
      </x:c>
      <x:c r="P637" s="9" t="str">
        <x:v>普通男女装</x:v>
      </x:c>
      <x:c r="Q637" s="9" t="str">
        <x:v>W_SKIRTS_AVGPAID_1300_1400_ANNUAL2026.xlsx</x:v>
      </x:c>
      <x:c r="R637" s="9" t="str">
        <x:v>默认</x:v>
      </x:c>
      <x:c r="S637" s="9" t="n">
        <x:v>114</x:v>
      </x:c>
      <x:c r="T637" s="9" t="str">
        <x:v>bd4dae1e08e9eca7ddd0669235bf59107cdc418b9c2898fc16f36a7ab5748692</x:v>
      </x:c>
      <x:c r="U637" s="9" t="str">
        <x:v>W_SKIRTS_AVGPAID_1300_1400_ANNUAL2026</x:v>
      </x:c>
      <x:c r="V637" s="9" t="str">
        <x:v>W_SKIRTS_AVGPAID_1300_1400_ANNUAL2026.xlsx / 默认 / 第114行 / SHA256 bd4dae1e08e9eca7ddd0669235bf59107cdc418b9c2898fc16f36a7ab5748692</x:v>
      </x:c>
    </x:row>
    <x:row r="638" ht="58" customHeight="1">
      <x:c r="A638" s="23" t="str">
        <x:v>998215883640</x:v>
      </x:c>
      <x:c r="B638" s="22"/>
      <x:c r="C638" s="22"/>
      <x:c r="D638" s="22"/>
      <x:c r="E638" s="9" t="str">
        <x:v>裙长未明确</x:v>
      </x:c>
      <x:c r="F638" s="9" t="str">
        <x:v>裙装</x:v>
      </x:c>
      <x:c r="G638" s="9" t="str">
        <x:v>半身裙</x:v>
      </x:c>
      <x:c r="H638" s="9" t="str">
        <x:v>女</x:v>
      </x:c>
      <x:c r="I638" s="9" t="str">
        <x:v>曼迪妈 花苞裙 韩国进口平绒100%棉软糯舒适半身裙百搭显瘦丝绒裙</x:v>
      </x:c>
      <x:c r="J638" s="9" t="str">
        <x:v>MANDYSHEN</x:v>
      </x:c>
      <x:c r="K638" s="24" t="n">
        <x:v>1528.2</x:v>
      </x:c>
      <x:c r="L638" s="25" t="e">
        <x:f>HYPERLINK("https://item.taobao.com/item.htm?id=998215883640","打开商品")</x:f>
        <x:v>HYPERLINK is not implemented. linkLocation=https://item.taobao.com/item.htm?id=998215883640, friendlyName=打开商品</x:v>
      </x:c>
      <x:c r="M638" s="25" t="e">
        <x:f>HYPERLINK("https://data.zhiyitech.cn/itemDetail/overview/base?itemId=998215883640","打开知衣")</x:f>
        <x:v>HYPERLINK is not implemented. linkLocation=https://data.zhiyitech.cn/itemDetail/overview/base?itemId=998215883640, friendlyName=打开知衣</x:v>
      </x:c>
      <x:c r="N638" s="25" t="e">
        <x:f>HYPERLINK("https://img.alicdn.com/bao/uploaded/i2/89012003/O1CN01AHYuqU1QfQQbH9VX8_!!89012003.jpg","查看主图")</x:f>
        <x:v>HYPERLINK is not implemented. linkLocation=https://img.alicdn.com/bao/uploaded/i2/89012003/O1CN01AHYuqU1QfQQbH9VX8_!!89012003.jpg, friendlyName=查看主图</x:v>
      </x:c>
      <x:c r="O638" s="9" t="str">
        <x:v>标题及既有类目语义复核；曼迪妈 花苞裙 韩国进口平绒100%棉软糯舒适半身裙百搭显瘦丝绒裙；原类目及标题已能确认半身裙；展示使用已知大类，未知裙长下沉到结构字段，不强猜长短。</x:v>
      </x:c>
      <x:c r="P638" s="9" t="str">
        <x:v>普通男女装</x:v>
      </x:c>
      <x:c r="Q638" s="9" t="str">
        <x:v>W_SKIRTS_AVGPAID_1500_1600_ANNUAL2026.xlsx</x:v>
      </x:c>
      <x:c r="R638" s="9" t="str">
        <x:v>默认</x:v>
      </x:c>
      <x:c r="S638" s="9" t="n">
        <x:v>126</x:v>
      </x:c>
      <x:c r="T638" s="9" t="str">
        <x:v>deede8b56943df4f914be45dba170f12e69064023d6ef0e88dbde1764f6ba23e</x:v>
      </x:c>
      <x:c r="U638" s="9" t="str">
        <x:v>W_SKIRTS_AVGPAID_1500_1600_ANNUAL2026</x:v>
      </x:c>
      <x:c r="V638" s="9" t="str">
        <x:v>W_SKIRTS_AVGPAID_1500_1600_ANNUAL2026.xlsx / 默认 / 第126行 / SHA256 deede8b56943df4f914be45dba170f12e69064023d6ef0e88dbde1764f6ba23e</x:v>
      </x:c>
    </x:row>
    <x:row r="639" ht="58" customHeight="1">
      <x:c r="A639" s="23" t="str">
        <x:v>1007032695364</x:v>
      </x:c>
      <x:c r="B639" s="22"/>
      <x:c r="C639" s="22"/>
      <x:c r="D639" s="22"/>
      <x:c r="E639" s="9" t="str">
        <x:v>裙长未明确</x:v>
      </x:c>
      <x:c r="F639" s="9" t="str">
        <x:v>裙装</x:v>
      </x:c>
      <x:c r="G639" s="9" t="str">
        <x:v>半身裙</x:v>
      </x:c>
      <x:c r="H639" s="9" t="str">
        <x:v>女</x:v>
      </x:c>
      <x:c r="I639" s="9" t="str">
        <x:v>玛莉美歌【亚洲限定系列】Unikko游霓可半身裙26早春新款</x:v>
      </x:c>
      <x:c r="J639" s="9" t="str">
        <x:v>MARIMEKKO</x:v>
      </x:c>
      <x:c r="K639" s="24" t="n">
        <x:v>1776.03</x:v>
      </x:c>
      <x:c r="L639" s="25" t="e">
        <x:f>HYPERLINK("https://item.taobao.com/item.htm?id=1007032695364","打开商品")</x:f>
        <x:v>HYPERLINK is not implemented. linkLocation=https://item.taobao.com/item.htm?id=1007032695364, friendlyName=打开商品</x:v>
      </x:c>
      <x:c r="M639" s="25" t="e">
        <x:f>HYPERLINK("https://data.zhiyitech.cn/itemDetail/overview/base?itemId=1007032695364","打开知衣")</x:f>
        <x:v>HYPERLINK is not implemented. linkLocation=https://data.zhiyitech.cn/itemDetail/overview/base?itemId=1007032695364, friendlyName=打开知衣</x:v>
      </x:c>
      <x:c r="N639" s="25" t="e">
        <x:f>HYPERLINK("https://img.alicdn.com/bao/uploaded/i1/2200656982479/O1CN01nlQD8HDNZ5L1chua_!!2200656982479.jpg","查看主图")</x:f>
        <x:v>HYPERLINK is not implemented. linkLocation=https://img.alicdn.com/bao/uploaded/i1/2200656982479/O1CN01nlQD8HDNZ5L1chua_!!2200656982479.jpg, friendlyName=查看主图</x:v>
      </x:c>
      <x:c r="O639" s="9" t="str">
        <x:v>标题及既有类目语义复核；玛莉美歌【亚洲限定系列】Unikko游霓可半身裙26早春新款；原类目及标题已能确认半身裙；展示使用已知大类，未知裙长下沉到结构字段，不强猜长短。</x:v>
      </x:c>
      <x:c r="P639" s="9" t="str">
        <x:v>普通男女装</x:v>
      </x:c>
      <x:c r="Q639" s="9" t="str">
        <x:v>W_SKIRTS_AVGPAID_1700_1800_ANNUAL2026.xlsx</x:v>
      </x:c>
      <x:c r="R639" s="9" t="str">
        <x:v>默认</x:v>
      </x:c>
      <x:c r="S639" s="9" t="n">
        <x:v>212</x:v>
      </x:c>
      <x:c r="T639" s="9" t="str">
        <x:v>c25ed77c53c7c5cfcf728778a0e9b297d8689503f62756a939cbd534ca9b587a</x:v>
      </x:c>
      <x:c r="U639" s="9" t="str">
        <x:v>W_SKIRTS_AVGPAID_1700_1800_ANNUAL2026</x:v>
      </x:c>
      <x:c r="V639" s="9" t="str">
        <x:v>W_SKIRTS_AVGPAID_1700_1800_ANNUAL2026.xlsx / 默认 / 第212行 / SHA256 c25ed77c53c7c5cfcf728778a0e9b297d8689503f62756a939cbd534ca9b587a</x:v>
      </x:c>
    </x:row>
    <x:row r="640" ht="58" customHeight="1">
      <x:c r="A640" s="23" t="str">
        <x:v>946198812216</x:v>
      </x:c>
      <x:c r="B640" s="22"/>
      <x:c r="C640" s="22"/>
      <x:c r="D640" s="22"/>
      <x:c r="E640" s="9" t="str">
        <x:v>裙长未明确</x:v>
      </x:c>
      <x:c r="F640" s="9" t="str">
        <x:v>裙装</x:v>
      </x:c>
      <x:c r="G640" s="9" t="str">
        <x:v>半身裙</x:v>
      </x:c>
      <x:c r="H640" s="9" t="str">
        <x:v>女</x:v>
      </x:c>
      <x:c r="I640" s="9" t="str">
        <x:v>Marimekko【Unikko游霓可】Piiru褶饰女士半身裙</x:v>
      </x:c>
      <x:c r="J640" s="9" t="str">
        <x:v>MARIMEKKO</x:v>
      </x:c>
      <x:c r="K640" s="24" t="n">
        <x:v>1786.61</x:v>
      </x:c>
      <x:c r="L640" s="25" t="e">
        <x:f>HYPERLINK("https://item.taobao.com/item.htm?id=946198812216","打开商品")</x:f>
        <x:v>HYPERLINK is not implemented. linkLocation=https://item.taobao.com/item.htm?id=946198812216, friendlyName=打开商品</x:v>
      </x:c>
      <x:c r="M640" s="25" t="e">
        <x:f>HYPERLINK("https://data.zhiyitech.cn/itemDetail/overview/base?itemId=946198812216","打开知衣")</x:f>
        <x:v>HYPERLINK is not implemented. linkLocation=https://data.zhiyitech.cn/itemDetail/overview/base?itemId=946198812216, friendlyName=打开知衣</x:v>
      </x:c>
      <x:c r="N640" s="25" t="e">
        <x:f>HYPERLINK("https://img.alicdn.com/bao/uploaded/i3/2200656982479/O1CN01b32xKnZqE8C1chua_!!2200656982479.jpg","查看主图")</x:f>
        <x:v>HYPERLINK is not implemented. linkLocation=https://img.alicdn.com/bao/uploaded/i3/2200656982479/O1CN01b32xKnZqE8C1chua_!!2200656982479.jpg, friendlyName=查看主图</x:v>
      </x:c>
      <x:c r="O640" s="9" t="str">
        <x:v>标题及既有类目语义复核；Marimekko【Unikko游霓可】Piiru褶饰女士半身裙；原类目及标题已能确认半身裙；展示使用已知大类，未知裙长下沉到结构字段，不强猜长短。</x:v>
      </x:c>
      <x:c r="P640" s="9" t="str">
        <x:v>普通男女装</x:v>
      </x:c>
      <x:c r="Q640" s="9" t="str">
        <x:v>W_SKIRTS_AVGPAID_1700_1800_ANNUAL2026.xlsx</x:v>
      </x:c>
      <x:c r="R640" s="9" t="str">
        <x:v>默认</x:v>
      </x:c>
      <x:c r="S640" s="9" t="n">
        <x:v>211</x:v>
      </x:c>
      <x:c r="T640" s="9" t="str">
        <x:v>c25ed77c53c7c5cfcf728778a0e9b297d8689503f62756a939cbd534ca9b587a</x:v>
      </x:c>
      <x:c r="U640" s="9" t="str">
        <x:v>W_SKIRTS_AVGPAID_1700_1800_ANNUAL2026</x:v>
      </x:c>
      <x:c r="V640" s="9" t="str">
        <x:v>W_SKIRTS_AVGPAID_1700_1800_ANNUAL2026.xlsx / 默认 / 第211行 / SHA256 c25ed77c53c7c5cfcf728778a0e9b297d8689503f62756a939cbd534ca9b587a</x:v>
      </x:c>
    </x:row>
    <x:row r="641" ht="58" customHeight="1">
      <x:c r="A641" s="23" t="str">
        <x:v>958569055751</x:v>
      </x:c>
      <x:c r="B641" s="22"/>
      <x:c r="C641" s="22"/>
      <x:c r="D641" s="22"/>
      <x:c r="E641" s="9" t="str">
        <x:v>裙长未明确</x:v>
      </x:c>
      <x:c r="F641" s="9" t="str">
        <x:v>裙装</x:v>
      </x:c>
      <x:c r="G641" s="9" t="str">
        <x:v>半身裙</x:v>
      </x:c>
      <x:c r="H641" s="9" t="str">
        <x:v>女</x:v>
      </x:c>
      <x:c r="I641" s="9" t="str">
        <x:v>Marimekko玛莉美歌【亚洲限定系列】 Perenna印花伞裙半身裙</x:v>
      </x:c>
      <x:c r="J641" s="9" t="str">
        <x:v>MARIMEKKO</x:v>
      </x:c>
      <x:c r="K641" s="24" t="n">
        <x:v>1379.29</x:v>
      </x:c>
      <x:c r="L641" s="25" t="e">
        <x:f>HYPERLINK("https://item.taobao.com/item.htm?id=958569055751","打开商品")</x:f>
        <x:v>HYPERLINK is not implemented. linkLocation=https://item.taobao.com/item.htm?id=958569055751, friendlyName=打开商品</x:v>
      </x:c>
      <x:c r="M641" s="25" t="e">
        <x:f>HYPERLINK("https://data.zhiyitech.cn/itemDetail/overview/base?itemId=958569055751","打开知衣")</x:f>
        <x:v>HYPERLINK is not implemented. linkLocation=https://data.zhiyitech.cn/itemDetail/overview/base?itemId=958569055751, friendlyName=打开知衣</x:v>
      </x:c>
      <x:c r="N641" s="25" t="e">
        <x:f>HYPERLINK("https://img.alicdn.com/bao/uploaded/i2/2200656982479/O1CN01lP5z5ZLgcII1chua_!!2200656982479.jpg","查看主图")</x:f>
        <x:v>HYPERLINK is not implemented. linkLocation=https://img.alicdn.com/bao/uploaded/i2/2200656982479/O1CN01lP5z5ZLgcII1chua_!!2200656982479.jpg, friendlyName=查看主图</x:v>
      </x:c>
      <x:c r="O641" s="9" t="str">
        <x:v>标题及既有类目语义复核；Marimekko玛莉美歌【亚洲限定系列】 Perenna印花伞裙半身裙；原类目及标题已能确认半身裙；展示使用已知大类，未知裙长下沉到结构字段，不强猜长短。</x:v>
      </x:c>
      <x:c r="P641" s="9" t="str">
        <x:v>普通男女装</x:v>
      </x:c>
      <x:c r="Q641" s="9" t="str">
        <x:v>W_SKIRTS_AVGPAID_1300_1400_ANNUAL2026.xlsx</x:v>
      </x:c>
      <x:c r="R641" s="9" t="str">
        <x:v>默认</x:v>
      </x:c>
      <x:c r="S641" s="9" t="n">
        <x:v>198</x:v>
      </x:c>
      <x:c r="T641" s="9" t="str">
        <x:v>bd4dae1e08e9eca7ddd0669235bf59107cdc418b9c2898fc16f36a7ab5748692</x:v>
      </x:c>
      <x:c r="U641" s="9" t="str">
        <x:v>W_SKIRTS_AVGPAID_1300_1400_ANNUAL2026</x:v>
      </x:c>
      <x:c r="V641" s="9" t="str">
        <x:v>W_SKIRTS_AVGPAID_1300_1400_ANNUAL2026.xlsx / 默认 / 第198行 / SHA256 bd4dae1e08e9eca7ddd0669235bf59107cdc418b9c2898fc16f36a7ab5748692</x:v>
      </x:c>
    </x:row>
    <x:row r="642" ht="58" customHeight="1">
      <x:c r="A642" s="23" t="str">
        <x:v>960262732938</x:v>
      </x:c>
      <x:c r="B642" s="22"/>
      <x:c r="C642" s="22"/>
      <x:c r="D642" s="22"/>
      <x:c r="E642" s="9" t="str">
        <x:v>裙长未明确</x:v>
      </x:c>
      <x:c r="F642" s="9" t="str">
        <x:v>裙装</x:v>
      </x:c>
      <x:c r="G642" s="9" t="str">
        <x:v>半身裙</x:v>
      </x:c>
      <x:c r="H642" s="9" t="str">
        <x:v>女</x:v>
      </x:c>
      <x:c r="I642" s="9" t="str">
        <x:v>【Unikko游霓可】Marimekko【丹宁系列】牛仔半身裙</x:v>
      </x:c>
      <x:c r="J642" s="9" t="str">
        <x:v>MARIMEKKO</x:v>
      </x:c>
      <x:c r="K642" s="24" t="n">
        <x:v>1770.13</x:v>
      </x:c>
      <x:c r="L642" s="25" t="e">
        <x:f>HYPERLINK("https://item.taobao.com/item.htm?id=960262732938","打开商品")</x:f>
        <x:v>HYPERLINK is not implemented. linkLocation=https://item.taobao.com/item.htm?id=960262732938, friendlyName=打开商品</x:v>
      </x:c>
      <x:c r="M642" s="25" t="e">
        <x:f>HYPERLINK("https://data.zhiyitech.cn/itemDetail/overview/base?itemId=960262732938","打开知衣")</x:f>
        <x:v>HYPERLINK is not implemented. linkLocation=https://data.zhiyitech.cn/itemDetail/overview/base?itemId=960262732938, friendlyName=打开知衣</x:v>
      </x:c>
      <x:c r="N642" s="25" t="e">
        <x:f>HYPERLINK("https://img.alicdn.com/bao/uploaded/i2/2200656982479/O1CN01sddfMi91g0J1chua_!!2200656982479.jpg","查看主图")</x:f>
        <x:v>HYPERLINK is not implemented. linkLocation=https://img.alicdn.com/bao/uploaded/i2/2200656982479/O1CN01sddfMi91g0J1chua_!!2200656982479.jpg, friendlyName=查看主图</x:v>
      </x:c>
      <x:c r="O642" s="9" t="str">
        <x:v>标题及既有类目语义复核；【Unikko游霓可】Marimekko【丹宁系列】牛仔半身裙；原类目及标题已能确认半身裙；展示使用已知大类，未知裙长下沉到结构字段，不强猜长短。</x:v>
      </x:c>
      <x:c r="P642" s="9" t="str">
        <x:v>普通男女装</x:v>
      </x:c>
      <x:c r="Q642" s="9" t="str">
        <x:v>W_SKIRTS_AVGPAID_1700_1800_ANNUAL2026.xlsx</x:v>
      </x:c>
      <x:c r="R642" s="9" t="str">
        <x:v>默认</x:v>
      </x:c>
      <x:c r="S642" s="9" t="n">
        <x:v>459</x:v>
      </x:c>
      <x:c r="T642" s="9" t="str">
        <x:v>c25ed77c53c7c5cfcf728778a0e9b297d8689503f62756a939cbd534ca9b587a</x:v>
      </x:c>
      <x:c r="U642" s="9" t="str">
        <x:v>W_SKIRTS_AVGPAID_1700_1800_ANNUAL2026</x:v>
      </x:c>
      <x:c r="V642" s="9" t="str">
        <x:v>W_SKIRTS_AVGPAID_1700_1800_ANNUAL2026.xlsx / 默认 / 第459行 / SHA256 c25ed77c53c7c5cfcf728778a0e9b297d8689503f62756a939cbd534ca9b587a</x:v>
      </x:c>
    </x:row>
    <x:row r="643" ht="58" customHeight="1">
      <x:c r="A643" s="23" t="str">
        <x:v>996820691665</x:v>
      </x:c>
      <x:c r="B643" s="22"/>
      <x:c r="C643" s="22"/>
      <x:c r="D643" s="22"/>
      <x:c r="E643" s="9" t="str">
        <x:v>裙长未明确</x:v>
      </x:c>
      <x:c r="F643" s="9" t="str">
        <x:v>裙装</x:v>
      </x:c>
      <x:c r="G643" s="9" t="str">
        <x:v>半身裙</x:v>
      </x:c>
      <x:c r="H643" s="9" t="str">
        <x:v>女</x:v>
      </x:c>
      <x:c r="I643" s="9" t="str">
        <x:v>Marimekko玛莉美歌【亚洲限定系列】女士半身裙百褶裙26早春新款</x:v>
      </x:c>
      <x:c r="J643" s="9" t="str">
        <x:v>MARIMEKKO</x:v>
      </x:c>
      <x:c r="K643" s="24" t="n">
        <x:v>1526.82</x:v>
      </x:c>
      <x:c r="L643" s="25" t="e">
        <x:f>HYPERLINK("https://item.taobao.com/item.htm?id=996820691665","打开商品")</x:f>
        <x:v>HYPERLINK is not implemented. linkLocation=https://item.taobao.com/item.htm?id=996820691665, friendlyName=打开商品</x:v>
      </x:c>
      <x:c r="M643" s="25" t="e">
        <x:f>HYPERLINK("https://data.zhiyitech.cn/itemDetail/overview/base?itemId=996820691665","打开知衣")</x:f>
        <x:v>HYPERLINK is not implemented. linkLocation=https://data.zhiyitech.cn/itemDetail/overview/base?itemId=996820691665, friendlyName=打开知衣</x:v>
      </x:c>
      <x:c r="N643" s="25" t="e">
        <x:f>HYPERLINK("https://img.alicdn.com/bao/uploaded/i3/2200656982479/O1CN01w1Q2FG4S2kB1chua_!!2200656982479.jpg","查看主图")</x:f>
        <x:v>HYPERLINK is not implemented. linkLocation=https://img.alicdn.com/bao/uploaded/i3/2200656982479/O1CN01w1Q2FG4S2kB1chua_!!2200656982479.jpg, friendlyName=查看主图</x:v>
      </x:c>
      <x:c r="O643" s="9" t="str">
        <x:v>标题及既有类目语义复核；Marimekko玛莉美歌【亚洲限定系列】女士半身裙百褶裙26早春新款；原类目及标题已能确认半身裙；展示使用已知大类，未知裙长下沉到结构字段，不强猜长短。</x:v>
      </x:c>
      <x:c r="P643" s="9" t="str">
        <x:v>普通男女装</x:v>
      </x:c>
      <x:c r="Q643" s="9" t="str">
        <x:v>W_SKIRTS_AVGPAID_1500_1600_ANNUAL2026.xlsx</x:v>
      </x:c>
      <x:c r="R643" s="9" t="str">
        <x:v>默认</x:v>
      </x:c>
      <x:c r="S643" s="9" t="n">
        <x:v>323</x:v>
      </x:c>
      <x:c r="T643" s="9" t="str">
        <x:v>deede8b56943df4f914be45dba170f12e69064023d6ef0e88dbde1764f6ba23e</x:v>
      </x:c>
      <x:c r="U643" s="9" t="str">
        <x:v>W_SKIRTS_AVGPAID_1500_1600_ANNUAL2026</x:v>
      </x:c>
      <x:c r="V643" s="9" t="str">
        <x:v>W_SKIRTS_AVGPAID_1500_1600_ANNUAL2026.xlsx / 默认 / 第323行 / SHA256 deede8b56943df4f914be45dba170f12e69064023d6ef0e88dbde1764f6ba23e</x:v>
      </x:c>
    </x:row>
    <x:row r="644" ht="58" customHeight="1">
      <x:c r="A644" s="23" t="str">
        <x:v>892443913005</x:v>
      </x:c>
      <x:c r="B644" s="22"/>
      <x:c r="C644" s="22"/>
      <x:c r="D644" s="22"/>
      <x:c r="E644" s="9" t="str">
        <x:v>裙长未明确</x:v>
      </x:c>
      <x:c r="F644" s="9" t="str">
        <x:v>裙装</x:v>
      </x:c>
      <x:c r="G644" s="9" t="str">
        <x:v>半身裙</x:v>
      </x:c>
      <x:c r="H644" s="9" t="str">
        <x:v>女</x:v>
      </x:c>
      <x:c r="I644" s="9" t="str">
        <x:v>【能量色彩】Marisfrolg玛丝菲尔夏款时尚亮橘色半身裙</x:v>
      </x:c>
      <x:c r="J644" s="9" t="str">
        <x:v>MARISFROLG/玛丝菲尔</x:v>
      </x:c>
      <x:c r="K644" s="24" t="n">
        <x:v>1571.49</x:v>
      </x:c>
      <x:c r="L644" s="25" t="e">
        <x:f>HYPERLINK("https://item.taobao.com/item.htm?id=892443913005","打开商品")</x:f>
        <x:v>HYPERLINK is not implemented. linkLocation=https://item.taobao.com/item.htm?id=892443913005, friendlyName=打开商品</x:v>
      </x:c>
      <x:c r="M644" s="25" t="e">
        <x:f>HYPERLINK("https://data.zhiyitech.cn/itemDetail/overview/base?itemId=892443913005","打开知衣")</x:f>
        <x:v>HYPERLINK is not implemented. linkLocation=https://data.zhiyitech.cn/itemDetail/overview/base?itemId=892443913005, friendlyName=打开知衣</x:v>
      </x:c>
      <x:c r="N644" s="25" t="e">
        <x:f>HYPERLINK("https://img.alicdn.com/bao/uploaded/i2/906821435/O1CN01GZR0jl1MTHOH0WXSy_!!4611686018427387707-0-item_pic.jpg","查看主图")</x:f>
        <x:v>HYPERLINK is not implemented. linkLocation=https://img.alicdn.com/bao/uploaded/i2/906821435/O1CN01GZR0jl1MTHOH0WXSy_!!4611686018427387707-0-item_pic.jpg, friendlyName=查看主图</x:v>
      </x:c>
      <x:c r="O644" s="9" t="str">
        <x:v>标题及既有类目语义复核；【能量色彩】Marisfrolg玛丝菲尔夏款时尚亮橘色半身裙；原类目及标题已能确认半身裙；展示使用已知大类，未知裙长下沉到结构字段，不强猜长短。</x:v>
      </x:c>
      <x:c r="P644" s="9" t="str">
        <x:v>普通男女装</x:v>
      </x:c>
      <x:c r="Q644" s="9" t="str">
        <x:v>W_SKIRTS_AVGPAID_1500_1600_ANNUAL2026.xlsx</x:v>
      </x:c>
      <x:c r="R644" s="9" t="str">
        <x:v>默认</x:v>
      </x:c>
      <x:c r="S644" s="9" t="n">
        <x:v>435</x:v>
      </x:c>
      <x:c r="T644" s="9" t="str">
        <x:v>deede8b56943df4f914be45dba170f12e69064023d6ef0e88dbde1764f6ba23e</x:v>
      </x:c>
      <x:c r="U644" s="9" t="str">
        <x:v>W_SKIRTS_AVGPAID_1500_1600_ANNUAL2026</x:v>
      </x:c>
      <x:c r="V644" s="9" t="str">
        <x:v>W_SKIRTS_AVGPAID_1500_1600_ANNUAL2026.xlsx / 默认 / 第435行 / SHA256 deede8b56943df4f914be45dba170f12e69064023d6ef0e88dbde1764f6ba23e</x:v>
      </x:c>
    </x:row>
    <x:row r="645" ht="58" customHeight="1">
      <x:c r="A645" s="23" t="str">
        <x:v>944157886834</x:v>
      </x:c>
      <x:c r="B645" s="22"/>
      <x:c r="C645" s="22"/>
      <x:c r="D645" s="22"/>
      <x:c r="E645" s="9" t="str">
        <x:v>裙长未明确</x:v>
      </x:c>
      <x:c r="F645" s="9" t="str">
        <x:v>裙装</x:v>
      </x:c>
      <x:c r="G645" s="9" t="str">
        <x:v>半身裙</x:v>
      </x:c>
      <x:c r="H645" s="9" t="str">
        <x:v>女</x:v>
      </x:c>
      <x:c r="I645" s="9" t="str">
        <x:v>【精简美学】Marisfrolg玛丝菲尔夏季新款蓝色不规则针织半身裙</x:v>
      </x:c>
      <x:c r="J645" s="9" t="str">
        <x:v>MARISFROLG/玛丝菲尔</x:v>
      </x:c>
      <x:c r="K645" s="24" t="n">
        <x:v>1705.33</x:v>
      </x:c>
      <x:c r="L645" s="25" t="e">
        <x:f>HYPERLINK("https://item.taobao.com/item.htm?id=944157886834","打开商品")</x:f>
        <x:v>HYPERLINK is not implemented. linkLocation=https://item.taobao.com/item.htm?id=944157886834, friendlyName=打开商品</x:v>
      </x:c>
      <x:c r="M645" s="25" t="e">
        <x:f>HYPERLINK("https://data.zhiyitech.cn/itemDetail/overview/base?itemId=944157886834","打开知衣")</x:f>
        <x:v>HYPERLINK is not implemented. linkLocation=https://data.zhiyitech.cn/itemDetail/overview/base?itemId=944157886834, friendlyName=打开知衣</x:v>
      </x:c>
      <x:c r="N645" s="25" t="e">
        <x:f>HYPERLINK("https://img.alicdn.com/bao/uploaded/i4/2200796838662/O1CN01ThbhS32DrFo5TdHtN_!!4611686018427386630-0-item_pic.jpg","查看主图")</x:f>
        <x:v>HYPERLINK is not implemented. linkLocation=https://img.alicdn.com/bao/uploaded/i4/2200796838662/O1CN01ThbhS32DrFo5TdHtN_!!4611686018427386630-0-item_pic.jpg, friendlyName=查看主图</x:v>
      </x:c>
      <x:c r="O645" s="9" t="str">
        <x:v>标题及既有类目语义复核；【精简美学】Marisfrolg玛丝菲尔夏季新款蓝色不规则针织半身裙；原类目及标题已能确认半身裙；展示使用已知大类，未知裙长下沉到结构字段，不强猜长短。</x:v>
      </x:c>
      <x:c r="P645" s="9" t="str">
        <x:v>普通男女装</x:v>
      </x:c>
      <x:c r="Q645" s="9" t="str">
        <x:v>W_SKIRTS_AVGPAID_1700_1800_ANNUAL2026.xlsx</x:v>
      </x:c>
      <x:c r="R645" s="9" t="str">
        <x:v>默认</x:v>
      </x:c>
      <x:c r="S645" s="9" t="n">
        <x:v>199</x:v>
      </x:c>
      <x:c r="T645" s="9" t="str">
        <x:v>c25ed77c53c7c5cfcf728778a0e9b297d8689503f62756a939cbd534ca9b587a</x:v>
      </x:c>
      <x:c r="U645" s="9" t="str">
        <x:v>W_SKIRTS_AVGPAID_1700_1800_ANNUAL2026</x:v>
      </x:c>
      <x:c r="V645" s="9" t="str">
        <x:v>W_SKIRTS_AVGPAID_1700_1800_ANNUAL2026.xlsx / 默认 / 第199行 / SHA256 c25ed77c53c7c5cfcf728778a0e9b297d8689503f62756a939cbd534ca9b587a</x:v>
      </x:c>
    </x:row>
    <x:row r="646" ht="58" customHeight="1">
      <x:c r="A646" s="23" t="str">
        <x:v>987529730138</x:v>
      </x:c>
      <x:c r="B646" s="22"/>
      <x:c r="C646" s="22"/>
      <x:c r="D646" s="22"/>
      <x:c r="E646" s="9" t="str">
        <x:v>裙长未明确</x:v>
      </x:c>
      <x:c r="F646" s="9" t="str">
        <x:v>裙装</x:v>
      </x:c>
      <x:c r="G646" s="9" t="str">
        <x:v>半身裙</x:v>
      </x:c>
      <x:c r="H646" s="9" t="str">
        <x:v>女</x:v>
      </x:c>
      <x:c r="I646" s="9" t="str">
        <x:v>【商场同款】Marisfrolg玛丝菲尔冬季新款米白色羊毛半身裙女</x:v>
      </x:c>
      <x:c r="J646" s="9" t="str">
        <x:v>MARISFROLG/玛丝菲尔</x:v>
      </x:c>
      <x:c r="K646" s="24" t="n">
        <x:v>1368.89</x:v>
      </x:c>
      <x:c r="L646" s="25" t="e">
        <x:f>HYPERLINK("https://item.taobao.com/item.htm?id=987529730138","打开商品")</x:f>
        <x:v>HYPERLINK is not implemented. linkLocation=https://item.taobao.com/item.htm?id=987529730138, friendlyName=打开商品</x:v>
      </x:c>
      <x:c r="M646" s="25" t="e">
        <x:f>HYPERLINK("https://data.zhiyitech.cn/itemDetail/overview/base?itemId=987529730138","打开知衣")</x:f>
        <x:v>HYPERLINK is not implemented. linkLocation=https://data.zhiyitech.cn/itemDetail/overview/base?itemId=987529730138, friendlyName=打开知衣</x:v>
      </x:c>
      <x:c r="N646" s="25" t="e">
        <x:f>HYPERLINK("https://img.alicdn.com/bao/uploaded/i4/2200796838662/O1CN018MGO5E2DrFowf268Q_!!4611686018427386630-0-item_pic.jpg","查看主图")</x:f>
        <x:v>HYPERLINK is not implemented. linkLocation=https://img.alicdn.com/bao/uploaded/i4/2200796838662/O1CN018MGO5E2DrFowf268Q_!!4611686018427386630-0-item_pic.jpg, friendlyName=查看主图</x:v>
      </x:c>
      <x:c r="O646" s="9" t="str">
        <x:v>标题及既有类目语义复核；【商场同款】Marisfrolg玛丝菲尔冬季新款米白色羊毛半身裙女；原类目及标题已能确认半身裙；展示使用已知大类，未知裙长下沉到结构字段，不强猜长短。</x:v>
      </x:c>
      <x:c r="P646" s="9" t="str">
        <x:v>普通男女装</x:v>
      </x:c>
      <x:c r="Q646" s="9" t="str">
        <x:v>W_SKIRTS_AVGPAID_1300_1400_ANNUAL2026.xlsx</x:v>
      </x:c>
      <x:c r="R646" s="9" t="str">
        <x:v>默认</x:v>
      </x:c>
      <x:c r="S646" s="9" t="n">
        <x:v>475</x:v>
      </x:c>
      <x:c r="T646" s="9" t="str">
        <x:v>bd4dae1e08e9eca7ddd0669235bf59107cdc418b9c2898fc16f36a7ab5748692</x:v>
      </x:c>
      <x:c r="U646" s="9" t="str">
        <x:v>W_SKIRTS_AVGPAID_1300_1400_ANNUAL2026</x:v>
      </x:c>
      <x:c r="V646" s="9" t="str">
        <x:v>W_SKIRTS_AVGPAID_1300_1400_ANNUAL2026.xlsx / 默认 / 第475行 / SHA256 bd4dae1e08e9eca7ddd0669235bf59107cdc418b9c2898fc16f36a7ab5748692</x:v>
      </x:c>
    </x:row>
    <x:row r="647" ht="58" customHeight="1">
      <x:c r="A647" s="23" t="str">
        <x:v>995995717862</x:v>
      </x:c>
      <x:c r="B647" s="22"/>
      <x:c r="C647" s="22"/>
      <x:c r="D647" s="22"/>
      <x:c r="E647" s="9" t="str">
        <x:v>裙长未明确</x:v>
      </x:c>
      <x:c r="F647" s="9" t="str">
        <x:v>裙装</x:v>
      </x:c>
      <x:c r="G647" s="9" t="str">
        <x:v>半身裙</x:v>
      </x:c>
      <x:c r="H647" s="9" t="str">
        <x:v>女</x:v>
      </x:c>
      <x:c r="I647" s="9" t="str">
        <x:v>MARIUS | "风琴半裙"精纺羊毛混纺简约显瘦佰搭A摆百褶半裙</x:v>
      </x:c>
      <x:c r="J647" s="9" t="str">
        <x:v>MARIUS</x:v>
      </x:c>
      <x:c r="K647" s="24" t="n">
        <x:v>1319.07</x:v>
      </x:c>
      <x:c r="L647" s="25" t="e">
        <x:f>HYPERLINK("https://item.taobao.com/item.htm?id=995995717862","打开商品")</x:f>
        <x:v>HYPERLINK is not implemented. linkLocation=https://item.taobao.com/item.htm?id=995995717862, friendlyName=打开商品</x:v>
      </x:c>
      <x:c r="M647" s="25" t="e">
        <x:f>HYPERLINK("https://data.zhiyitech.cn/itemDetail/overview/base?itemId=995995717862","打开知衣")</x:f>
        <x:v>HYPERLINK is not implemented. linkLocation=https://data.zhiyitech.cn/itemDetail/overview/base?itemId=995995717862, friendlyName=打开知衣</x:v>
      </x:c>
      <x:c r="N647" s="25" t="e">
        <x:f>HYPERLINK("https://img.alicdn.com/bao/uploaded/i4/56300470/O1CN013WDkiV1FLJG2Zec61_!!56300470.jpg","查看主图")</x:f>
        <x:v>HYPERLINK is not implemented. linkLocation=https://img.alicdn.com/bao/uploaded/i4/56300470/O1CN013WDkiV1FLJG2Zec61_!!56300470.jpg, friendlyName=查看主图</x:v>
      </x:c>
      <x:c r="O647" s="9" t="str">
        <x:v>标题及既有类目语义复核；MARIUS | "风琴半裙"精纺羊毛混纺简约显瘦佰搭A摆百褶半裙；原类目及标题已能确认半身裙；展示使用已知大类，未知裙长下沉到结构字段，不强猜长短。</x:v>
      </x:c>
      <x:c r="P647" s="9" t="str">
        <x:v>普通男女装</x:v>
      </x:c>
      <x:c r="Q647" s="9" t="str">
        <x:v>W_SKIRTS_AVGPAID_1300_1400_ANNUAL2026.xlsx</x:v>
      </x:c>
      <x:c r="R647" s="9" t="str">
        <x:v>默认</x:v>
      </x:c>
      <x:c r="S647" s="9" t="n">
        <x:v>106</x:v>
      </x:c>
      <x:c r="T647" s="9" t="str">
        <x:v>bd4dae1e08e9eca7ddd0669235bf59107cdc418b9c2898fc16f36a7ab5748692</x:v>
      </x:c>
      <x:c r="U647" s="9" t="str">
        <x:v>W_SKIRTS_AVGPAID_1300_1400_ANNUAL2026</x:v>
      </x:c>
      <x:c r="V647" s="9" t="str">
        <x:v>W_SKIRTS_AVGPAID_1300_1400_ANNUAL2026.xlsx / 默认 / 第106行 / SHA256 bd4dae1e08e9eca7ddd0669235bf59107cdc418b9c2898fc16f36a7ab5748692</x:v>
      </x:c>
    </x:row>
    <x:row r="648" ht="58" customHeight="1">
      <x:c r="A648" s="23" t="str">
        <x:v>900182974220</x:v>
      </x:c>
      <x:c r="B648" s="22"/>
      <x:c r="C648" s="22"/>
      <x:c r="D648" s="22"/>
      <x:c r="E648" s="9" t="str">
        <x:v>裙长未明确</x:v>
      </x:c>
      <x:c r="F648" s="9" t="str">
        <x:v>裙装</x:v>
      </x:c>
      <x:c r="G648" s="9" t="str">
        <x:v>半身裙</x:v>
      </x:c>
      <x:c r="H648" s="9" t="str">
        <x:v>女</x:v>
      </x:c>
      <x:c r="I648" s="9" t="str">
        <x:v>折扣升级Massimo Dutti女装 2025秋冬新款波嬉风棕色绒面革百褶半身裙 05313923806</x:v>
      </x:c>
      <x:c r="J648" s="9" t="str">
        <x:v>MASSIMO DUTTI</x:v>
      </x:c>
      <x:c r="K648" s="24" t="n">
        <x:v>1530.05</x:v>
      </x:c>
      <x:c r="L648" s="25" t="e">
        <x:f>HYPERLINK("https://item.taobao.com/item.htm?id=900182974220","打开商品")</x:f>
        <x:v>HYPERLINK is not implemented. linkLocation=https://item.taobao.com/item.htm?id=900182974220, friendlyName=打开商品</x:v>
      </x:c>
      <x:c r="M648" s="25" t="e">
        <x:f>HYPERLINK("https://data.zhiyitech.cn/itemDetail/overview/base?itemId=900182974220","打开知衣")</x:f>
        <x:v>HYPERLINK is not implemented. linkLocation=https://data.zhiyitech.cn/itemDetail/overview/base?itemId=900182974220, friendlyName=打开知衣</x:v>
      </x:c>
      <x:c r="N648" s="25" t="e">
        <x:f>HYPERLINK("https://img.alicdn.com/bao/uploaded/i2/2183380830/O1CN01qmUQpX1I0BqVs7ejX_!!2183380830.jpg","查看主图")</x:f>
        <x:v>HYPERLINK is not implemented. linkLocation=https://img.alicdn.com/bao/uploaded/i2/2183380830/O1CN01qmUQpX1I0BqVs7ejX_!!2183380830.jpg, friendlyName=查看主图</x:v>
      </x:c>
      <x:c r="O648" s="9" t="str">
        <x:v>标题及既有类目语义复核；折扣升级Massimo Dutti女装 2025秋冬新款波嬉风棕色绒面革百褶半身裙 05313923806；原类目及标题已能确认半身裙；展示使用已知大类，未知裙长下沉到结构字段，不强猜长短。</x:v>
      </x:c>
      <x:c r="P648" s="9" t="str">
        <x:v>普通男女装</x:v>
      </x:c>
      <x:c r="Q648" s="9" t="str">
        <x:v>W_SKIRTS_AVGPAID_1500_1600_ANNUAL2026.xlsx</x:v>
      </x:c>
      <x:c r="R648" s="9" t="str">
        <x:v>默认</x:v>
      </x:c>
      <x:c r="S648" s="9" t="n">
        <x:v>291</x:v>
      </x:c>
      <x:c r="T648" s="9" t="str">
        <x:v>deede8b56943df4f914be45dba170f12e69064023d6ef0e88dbde1764f6ba23e</x:v>
      </x:c>
      <x:c r="U648" s="9" t="str">
        <x:v>W_SKIRTS_AVGPAID_1500_1600_ANNUAL2026</x:v>
      </x:c>
      <x:c r="V648" s="9" t="str">
        <x:v>W_SKIRTS_AVGPAID_1500_1600_ANNUAL2026.xlsx / 默认 / 第291行 / SHA256 deede8b56943df4f914be45dba170f12e69064023d6ef0e88dbde1764f6ba23e</x:v>
      </x:c>
    </x:row>
    <x:row r="649" ht="58" customHeight="1">
      <x:c r="A649" s="23" t="str">
        <x:v>990862545648</x:v>
      </x:c>
      <x:c r="B649" s="22"/>
      <x:c r="C649" s="22"/>
      <x:c r="D649" s="22"/>
      <x:c r="E649" s="9" t="str">
        <x:v>裙长未明确</x:v>
      </x:c>
      <x:c r="F649" s="9" t="str">
        <x:v>裙装</x:v>
      </x:c>
      <x:c r="G649" s="9" t="str">
        <x:v>半身裙</x:v>
      </x:c>
      <x:c r="H649" s="9" t="str">
        <x:v>女</x:v>
      </x:c>
      <x:c r="I649" s="9" t="str">
        <x:v>【限量系列】秋冬新款MassimoDutti2025女装知性优雅真丝垂褶不规则半身裙05250555802</x:v>
      </x:c>
      <x:c r="J649" s="9" t="str">
        <x:v>MASSIMO DUTTI</x:v>
      </x:c>
      <x:c r="K649" s="24" t="n">
        <x:v>1724.05</x:v>
      </x:c>
      <x:c r="L649" s="25" t="e">
        <x:f>HYPERLINK("https://item.taobao.com/item.htm?id=990862545648","打开商品")</x:f>
        <x:v>HYPERLINK is not implemented. linkLocation=https://item.taobao.com/item.htm?id=990862545648, friendlyName=打开商品</x:v>
      </x:c>
      <x:c r="M649" s="25" t="e">
        <x:f>HYPERLINK("https://data.zhiyitech.cn/itemDetail/overview/base?itemId=990862545648","打开知衣")</x:f>
        <x:v>HYPERLINK is not implemented. linkLocation=https://data.zhiyitech.cn/itemDetail/overview/base?itemId=990862545648, friendlyName=打开知衣</x:v>
      </x:c>
      <x:c r="N649" s="25" t="e">
        <x:f>HYPERLINK("https://img.alicdn.com/bao/uploaded/i4/2183380830/O1CN01OyO3uS1I0BqO5TRSL_!!2183380830.jpg","查看主图")</x:f>
        <x:v>HYPERLINK is not implemented. linkLocation=https://img.alicdn.com/bao/uploaded/i4/2183380830/O1CN01OyO3uS1I0BqO5TRSL_!!2183380830.jpg, friendlyName=查看主图</x:v>
      </x:c>
      <x:c r="O649" s="9" t="str">
        <x:v>标题及既有类目语义复核；【限量系列】秋冬新款MassimoDutti2025女装知性优雅真丝垂褶不规则半身裙05250555802；原类目及标题已能确认半身裙；展示使用已知大类，未知裙长下沉到结构字段，不强猜长短。</x:v>
      </x:c>
      <x:c r="P649" s="9" t="str">
        <x:v>普通男女装</x:v>
      </x:c>
      <x:c r="Q649" s="9" t="str">
        <x:v>W_SKIRTS_AVGPAID_1700_1800_ANNUAL2026.xlsx</x:v>
      </x:c>
      <x:c r="R649" s="9" t="str">
        <x:v>默认</x:v>
      </x:c>
      <x:c r="S649" s="9" t="n">
        <x:v>434</x:v>
      </x:c>
      <x:c r="T649" s="9" t="str">
        <x:v>c25ed77c53c7c5cfcf728778a0e9b297d8689503f62756a939cbd534ca9b587a</x:v>
      </x:c>
      <x:c r="U649" s="9" t="str">
        <x:v>W_SKIRTS_AVGPAID_1700_1800_ANNUAL2026</x:v>
      </x:c>
      <x:c r="V649" s="9" t="str">
        <x:v>W_SKIRTS_AVGPAID_1700_1800_ANNUAL2026.xlsx / 默认 / 第434行 / SHA256 c25ed77c53c7c5cfcf728778a0e9b297d8689503f62756a939cbd534ca9b587a</x:v>
      </x:c>
    </x:row>
    <x:row r="650" ht="58" customHeight="1">
      <x:c r="A650" s="23" t="str">
        <x:v>1067424794694</x:v>
      </x:c>
      <x:c r="B650" s="22"/>
      <x:c r="C650" s="22"/>
      <x:c r="D650" s="22"/>
      <x:c r="E650" s="9" t="str">
        <x:v>裙长未明确</x:v>
      </x:c>
      <x:c r="F650" s="9" t="str">
        <x:v>裙装</x:v>
      </x:c>
      <x:c r="G650" s="9" t="str">
        <x:v>半身裙</x:v>
      </x:c>
      <x:c r="H650" s="9" t="str">
        <x:v>女</x:v>
      </x:c>
      <x:c r="I650" s="9" t="str">
        <x:v>【天猫独家】MaxMara 26新品女装哑光涂层半身裙9776016306&amp;</x:v>
      </x:c>
      <x:c r="J650" s="9" t="str">
        <x:v>MAXMARA</x:v>
      </x:c>
      <x:c r="K650" s="24" t="n">
        <x:v>1718.3</x:v>
      </x:c>
      <x:c r="L650" s="25" t="e">
        <x:f>HYPERLINK("https://item.taobao.com/item.htm?id=1067424794694","打开商品")</x:f>
        <x:v>HYPERLINK is not implemented. linkLocation=https://item.taobao.com/item.htm?id=1067424794694, friendlyName=打开商品</x:v>
      </x:c>
      <x:c r="M650" s="25" t="e">
        <x:f>HYPERLINK("https://data.zhiyitech.cn/itemDetail/overview/base?itemId=1067424794694","打开知衣")</x:f>
        <x:v>HYPERLINK is not implemented. linkLocation=https://data.zhiyitech.cn/itemDetail/overview/base?itemId=1067424794694, friendlyName=打开知衣</x:v>
      </x:c>
      <x:c r="N650" s="25" t="e">
        <x:f>HYPERLINK("https://img.alicdn.com/bao/uploaded/i1/2211755501358/O1CN01SBlFHWuBlOC1chua_!!2211755501358.jpg","查看主图")</x:f>
        <x:v>HYPERLINK is not implemented. linkLocation=https://img.alicdn.com/bao/uploaded/i1/2211755501358/O1CN01SBlFHWuBlOC1chua_!!2211755501358.jpg, friendlyName=查看主图</x:v>
      </x:c>
      <x:c r="O650" s="9" t="str">
        <x:v>标题及既有类目语义复核；【天猫独家】MaxMara 26新品女装哑光涂层半身裙9776016306&amp;；原类目及标题已能确认半身裙；展示使用已知大类，未知裙长下沉到结构字段，不强猜长短。</x:v>
      </x:c>
      <x:c r="P650" s="9" t="str">
        <x:v>普通男女装</x:v>
      </x:c>
      <x:c r="Q650" s="9" t="str">
        <x:v>W_SKIRTS_AVGPAID_1700_1800_ANNUAL2026.xlsx</x:v>
      </x:c>
      <x:c r="R650" s="9" t="str">
        <x:v>默认</x:v>
      </x:c>
      <x:c r="S650" s="9" t="n">
        <x:v>39</x:v>
      </x:c>
      <x:c r="T650" s="9" t="str">
        <x:v>c25ed77c53c7c5cfcf728778a0e9b297d8689503f62756a939cbd534ca9b587a</x:v>
      </x:c>
      <x:c r="U650" s="9" t="str">
        <x:v>W_SKIRTS_AVGPAID_1700_1800_ANNUAL2026</x:v>
      </x:c>
      <x:c r="V650" s="9" t="str">
        <x:v>W_SKIRTS_AVGPAID_1700_1800_ANNUAL2026.xlsx / 默认 / 第39行 / SHA256 c25ed77c53c7c5cfcf728778a0e9b297d8689503f62756a939cbd534ca9b587a</x:v>
      </x:c>
    </x:row>
    <x:row r="651" ht="58" customHeight="1">
      <x:c r="A651" s="23" t="str">
        <x:v>962349385185</x:v>
      </x:c>
      <x:c r="B651" s="22"/>
      <x:c r="C651" s="22"/>
      <x:c r="D651" s="22"/>
      <x:c r="E651" s="9" t="str">
        <x:v>裙长未明确</x:v>
      </x:c>
      <x:c r="F651" s="9" t="str">
        <x:v>裙装</x:v>
      </x:c>
      <x:c r="G651" s="9" t="str">
        <x:v>半身裙</x:v>
      </x:c>
      <x:c r="H651" s="9" t="str">
        <x:v>女</x:v>
      </x:c>
      <x:c r="I651" s="9" t="str">
        <x:v>【季末甄选】MaxMara 秋冬女装皮革涂层半身裙9776025306</x:v>
      </x:c>
      <x:c r="J651" s="9" t="str">
        <x:v>MAXMARA</x:v>
      </x:c>
      <x:c r="K651" s="24" t="n">
        <x:v>1584.25</x:v>
      </x:c>
      <x:c r="L651" s="25" t="e">
        <x:f>HYPERLINK("https://item.taobao.com/item.htm?id=962349385185","打开商品")</x:f>
        <x:v>HYPERLINK is not implemented. linkLocation=https://item.taobao.com/item.htm?id=962349385185, friendlyName=打开商品</x:v>
      </x:c>
      <x:c r="M651" s="25" t="e">
        <x:f>HYPERLINK("https://data.zhiyitech.cn/itemDetail/overview/base?itemId=962349385185","打开知衣")</x:f>
        <x:v>HYPERLINK is not implemented. linkLocation=https://data.zhiyitech.cn/itemDetail/overview/base?itemId=962349385185, friendlyName=打开知衣</x:v>
      </x:c>
      <x:c r="N651" s="25" t="e">
        <x:f>HYPERLINK("https://img.alicdn.com/bao/uploaded/i2/2211755501358/O1CN01rtBvWq1Lu0yG36C6C_!!4611686018427381550-0-item_pic.jpg","查看主图")</x:f>
        <x:v>HYPERLINK is not implemented. linkLocation=https://img.alicdn.com/bao/uploaded/i2/2211755501358/O1CN01rtBvWq1Lu0yG36C6C_!!4611686018427381550-0-item_pic.jpg, friendlyName=查看主图</x:v>
      </x:c>
      <x:c r="O651" s="9" t="str">
        <x:v>标题及既有类目语义复核；【季末甄选】MaxMara 秋冬女装皮革涂层半身裙9776025306；原类目及标题已能确认半身裙；展示使用已知大类，未知裙长下沉到结构字段，不强猜长短。</x:v>
      </x:c>
      <x:c r="P651" s="9" t="str">
        <x:v>普通男女装</x:v>
      </x:c>
      <x:c r="Q651" s="9" t="str">
        <x:v>W_SKIRTS_AVGPAID_1500_1600_ANNUAL2026.xlsx</x:v>
      </x:c>
      <x:c r="R651" s="9" t="str">
        <x:v>默认</x:v>
      </x:c>
      <x:c r="S651" s="9" t="n">
        <x:v>202</x:v>
      </x:c>
      <x:c r="T651" s="9" t="str">
        <x:v>deede8b56943df4f914be45dba170f12e69064023d6ef0e88dbde1764f6ba23e</x:v>
      </x:c>
      <x:c r="U651" s="9" t="str">
        <x:v>W_SKIRTS_AVGPAID_1500_1600_ANNUAL2026</x:v>
      </x:c>
      <x:c r="V651" s="9" t="str">
        <x:v>W_SKIRTS_AVGPAID_1500_1600_ANNUAL2026.xlsx / 默认 / 第202行 / SHA256 deede8b56943df4f914be45dba170f12e69064023d6ef0e88dbde1764f6ba23e</x:v>
      </x:c>
    </x:row>
    <x:row r="652" ht="58" customHeight="1">
      <x:c r="A652" s="23" t="str">
        <x:v>1003395870271</x:v>
      </x:c>
      <x:c r="B652" s="22"/>
      <x:c r="C652" s="22"/>
      <x:c r="D652" s="22"/>
      <x:c r="E652" s="9" t="str">
        <x:v>裙长未明确</x:v>
      </x:c>
      <x:c r="F652" s="9" t="str">
        <x:v>裙装</x:v>
      </x:c>
      <x:c r="G652" s="9" t="str">
        <x:v>半身裙</x:v>
      </x:c>
      <x:c r="H652" s="9" t="str">
        <x:v>女</x:v>
      </x:c>
      <x:c r="I652" s="9" t="str">
        <x:v>MAXRIENY主题绣花包臀长半裙</x:v>
      </x:c>
      <x:c r="J652" s="9" t="str">
        <x:v>MAXRIENY</x:v>
      </x:c>
      <x:c r="K652" s="24" t="n">
        <x:v>1300.09</x:v>
      </x:c>
      <x:c r="L652" s="25" t="e">
        <x:f>HYPERLINK("https://item.taobao.com/item.htm?id=1003395870271","打开商品")</x:f>
        <x:v>HYPERLINK is not implemented. linkLocation=https://item.taobao.com/item.htm?id=1003395870271, friendlyName=打开商品</x:v>
      </x:c>
      <x:c r="M652" s="25" t="e">
        <x:f>HYPERLINK("https://data.zhiyitech.cn/itemDetail/overview/base?itemId=1003395870271","打开知衣")</x:f>
        <x:v>HYPERLINK is not implemented. linkLocation=https://data.zhiyitech.cn/itemDetail/overview/base?itemId=1003395870271, friendlyName=打开知衣</x:v>
      </x:c>
      <x:c r="N652" s="25" t="e">
        <x:f>HYPERLINK("https://img.alicdn.com/bao/uploaded/i4/2245045526/O1CN01OOdQybmB3rI1chua-2245045526.jpg","查看主图")</x:f>
        <x:v>HYPERLINK is not implemented. linkLocation=https://img.alicdn.com/bao/uploaded/i4/2245045526/O1CN01OOdQybmB3rI1chua-2245045526.jpg, friendlyName=查看主图</x:v>
      </x:c>
      <x:c r="O652" s="9" t="str">
        <x:v>标题及既有类目语义复核；MAXRIENY主题绣花包臀长半裙；原类目及标题已能确认半身裙；展示使用已知大类，未知裙长下沉到结构字段，不强猜长短。</x:v>
      </x:c>
      <x:c r="P652" s="9" t="str">
        <x:v>普通男女装</x:v>
      </x:c>
      <x:c r="Q652" s="9" t="str">
        <x:v>W_SKIRTS_AVGPAID_1300_1400_ANNUAL2026.xlsx</x:v>
      </x:c>
      <x:c r="R652" s="9" t="str">
        <x:v>默认</x:v>
      </x:c>
      <x:c r="S652" s="9" t="n">
        <x:v>110</x:v>
      </x:c>
      <x:c r="T652" s="9" t="str">
        <x:v>bd4dae1e08e9eca7ddd0669235bf59107cdc418b9c2898fc16f36a7ab5748692</x:v>
      </x:c>
      <x:c r="U652" s="9" t="str">
        <x:v>W_SKIRTS_AVGPAID_1300_1400_ANNUAL2026</x:v>
      </x:c>
      <x:c r="V652" s="9" t="str">
        <x:v>W_SKIRTS_AVGPAID_1300_1400_ANNUAL2026.xlsx / 默认 / 第110行 / SHA256 bd4dae1e08e9eca7ddd0669235bf59107cdc418b9c2898fc16f36a7ab5748692</x:v>
      </x:c>
    </x:row>
    <x:row r="653" ht="58" customHeight="1">
      <x:c r="A653" s="23" t="str">
        <x:v>1010680721516</x:v>
      </x:c>
      <x:c r="B653" s="22"/>
      <x:c r="C653" s="22"/>
      <x:c r="D653" s="22"/>
      <x:c r="E653" s="9" t="str">
        <x:v>裙长未明确</x:v>
      </x:c>
      <x:c r="F653" s="9" t="str">
        <x:v>裙装</x:v>
      </x:c>
      <x:c r="G653" s="9" t="str">
        <x:v>半身裙</x:v>
      </x:c>
      <x:c r="H653" s="9" t="str">
        <x:v>女</x:v>
      </x:c>
      <x:c r="I653" s="9" t="str">
        <x:v>【商场同款】MAXRIENY半身裙2026年春季新款粉蓝色半裙提花裙子</x:v>
      </x:c>
      <x:c r="J653" s="9" t="str">
        <x:v>MAXRIENY</x:v>
      </x:c>
      <x:c r="K653" s="24" t="n">
        <x:v>1582.35</x:v>
      </x:c>
      <x:c r="L653" s="25" t="e">
        <x:f>HYPERLINK("https://item.taobao.com/item.htm?id=1010680721516","打开商品")</x:f>
        <x:v>HYPERLINK is not implemented. linkLocation=https://item.taobao.com/item.htm?id=1010680721516, friendlyName=打开商品</x:v>
      </x:c>
      <x:c r="M653" s="25" t="e">
        <x:f>HYPERLINK("https://data.zhiyitech.cn/itemDetail/overview/base?itemId=1010680721516","打开知衣")</x:f>
        <x:v>HYPERLINK is not implemented. linkLocation=https://data.zhiyitech.cn/itemDetail/overview/base?itemId=1010680721516, friendlyName=打开知衣</x:v>
      </x:c>
      <x:c r="N653" s="25" t="e">
        <x:f>HYPERLINK("https://img.alicdn.com/bao/uploaded/i3/2245045526/O1CN01PpD1GKf7MbL1chua-2245045526.jpg","查看主图")</x:f>
        <x:v>HYPERLINK is not implemented. linkLocation=https://img.alicdn.com/bao/uploaded/i3/2245045526/O1CN01PpD1GKf7MbL1chua-2245045526.jpg, friendlyName=查看主图</x:v>
      </x:c>
      <x:c r="O653" s="9" t="str">
        <x:v>标题及既有类目语义复核；【商场同款】MAXRIENY半身裙2026年春季新款粉蓝色半裙提花裙子；原类目及标题已能确认半身裙；展示使用已知大类，未知裙长下沉到结构字段，不强猜长短。</x:v>
      </x:c>
      <x:c r="P653" s="9" t="str">
        <x:v>普通男女装</x:v>
      </x:c>
      <x:c r="Q653" s="9" t="str">
        <x:v>W_SKIRTS_AVGPAID_1500_1600_ANNUAL2026.xlsx</x:v>
      </x:c>
      <x:c r="R653" s="9" t="str">
        <x:v>默认</x:v>
      </x:c>
      <x:c r="S653" s="9" t="n">
        <x:v>183</x:v>
      </x:c>
      <x:c r="T653" s="9" t="str">
        <x:v>deede8b56943df4f914be45dba170f12e69064023d6ef0e88dbde1764f6ba23e</x:v>
      </x:c>
      <x:c r="U653" s="9" t="str">
        <x:v>W_SKIRTS_AVGPAID_1500_1600_ANNUAL2026</x:v>
      </x:c>
      <x:c r="V653" s="9" t="str">
        <x:v>W_SKIRTS_AVGPAID_1500_1600_ANNUAL2026.xlsx / 默认 / 第183行 / SHA256 deede8b56943df4f914be45dba170f12e69064023d6ef0e88dbde1764f6ba23e</x:v>
      </x:c>
    </x:row>
    <x:row r="654" ht="58" customHeight="1">
      <x:c r="A654" s="23" t="str">
        <x:v>1021230153148</x:v>
      </x:c>
      <x:c r="B654" s="22"/>
      <x:c r="C654" s="22"/>
      <x:c r="D654" s="22"/>
      <x:c r="E654" s="9" t="str">
        <x:v>裙长未明确</x:v>
      </x:c>
      <x:c r="F654" s="9" t="str">
        <x:v>裙装</x:v>
      </x:c>
      <x:c r="G654" s="9" t="str">
        <x:v>半身裙</x:v>
      </x:c>
      <x:c r="H654" s="9" t="str">
        <x:v>女</x:v>
      </x:c>
      <x:c r="I654" s="9" t="str">
        <x:v>【呼呼专享】MAXRIENY感流星钉钻鱼尾牛仔半裙</x:v>
      </x:c>
      <x:c r="J654" s="9" t="str">
        <x:v>MAXRIENY</x:v>
      </x:c>
      <x:c r="K654" s="24" t="n">
        <x:v>1589</x:v>
      </x:c>
      <x:c r="L654" s="25" t="e">
        <x:f>HYPERLINK("https://item.taobao.com/item.htm?id=1021230153148","打开商品")</x:f>
        <x:v>HYPERLINK is not implemented. linkLocation=https://item.taobao.com/item.htm?id=1021230153148, friendlyName=打开商品</x:v>
      </x:c>
      <x:c r="M654" s="25" t="e">
        <x:f>HYPERLINK("https://data.zhiyitech.cn/itemDetail/overview/base?itemId=1021230153148","打开知衣")</x:f>
        <x:v>HYPERLINK is not implemented. linkLocation=https://data.zhiyitech.cn/itemDetail/overview/base?itemId=1021230153148, friendlyName=打开知衣</x:v>
      </x:c>
      <x:c r="N654" s="25" t="e">
        <x:f>HYPERLINK("https://img.alicdn.com/bao/uploaded/i2/2206650747660/O1CN01lEoidW26SKzEqPx6n_!!4611686018427382540-0-item_pic.jpg","查看主图")</x:f>
        <x:v>HYPERLINK is not implemented. linkLocation=https://img.alicdn.com/bao/uploaded/i2/2206650747660/O1CN01lEoidW26SKzEqPx6n_!!4611686018427382540-0-item_pic.jpg, friendlyName=查看主图</x:v>
      </x:c>
      <x:c r="O654" s="9" t="str">
        <x:v>标题及既有类目语义复核；【呼呼专享】MAXRIENY感流星钉钻鱼尾牛仔半裙；原类目及标题已能确认半身裙；展示使用已知大类，未知裙长下沉到结构字段，不强猜长短。</x:v>
      </x:c>
      <x:c r="P654" s="9" t="str">
        <x:v>普通男女装</x:v>
      </x:c>
      <x:c r="Q654" s="9" t="str">
        <x:v>W_SKIRTS_AVGPAID_1500_1600_ANNUAL2026.xlsx</x:v>
      </x:c>
      <x:c r="R654" s="9" t="str">
        <x:v>默认</x:v>
      </x:c>
      <x:c r="S654" s="9" t="n">
        <x:v>61</x:v>
      </x:c>
      <x:c r="T654" s="9" t="str">
        <x:v>deede8b56943df4f914be45dba170f12e69064023d6ef0e88dbde1764f6ba23e</x:v>
      </x:c>
      <x:c r="U654" s="9" t="str">
        <x:v>W_SKIRTS_AVGPAID_1500_1600_ANNUAL2026</x:v>
      </x:c>
      <x:c r="V654" s="9" t="str">
        <x:v>W_SKIRTS_AVGPAID_1500_1600_ANNUAL2026.xlsx / 默认 / 第61行 / SHA256 deede8b56943df4f914be45dba170f12e69064023d6ef0e88dbde1764f6ba23e</x:v>
      </x:c>
    </x:row>
    <x:row r="655" ht="58" customHeight="1">
      <x:c r="A655" s="23" t="str">
        <x:v>1035650005426</x:v>
      </x:c>
      <x:c r="B655" s="22"/>
      <x:c r="C655" s="22"/>
      <x:c r="D655" s="22"/>
      <x:c r="E655" s="9" t="str">
        <x:v>裙长未明确</x:v>
      </x:c>
      <x:c r="F655" s="9" t="str">
        <x:v>裙装</x:v>
      </x:c>
      <x:c r="G655" s="9" t="str">
        <x:v>半身裙</x:v>
      </x:c>
      <x:c r="H655" s="9" t="str">
        <x:v>女</x:v>
      </x:c>
      <x:c r="I655" s="9" t="str">
        <x:v>【七七酱直播间】MAXRIENY新中式绣花包臀H型半裙款高腰裙</x:v>
      </x:c>
      <x:c r="J655" s="9" t="str">
        <x:v>MAXRIENY</x:v>
      </x:c>
      <x:c r="K655" s="24" t="n">
        <x:v>1389</x:v>
      </x:c>
      <x:c r="L655" s="25" t="e">
        <x:f>HYPERLINK("https://item.taobao.com/item.htm?id=1035650005426","打开商品")</x:f>
        <x:v>HYPERLINK is not implemented. linkLocation=https://item.taobao.com/item.htm?id=1035650005426, friendlyName=打开商品</x:v>
      </x:c>
      <x:c r="M655" s="25" t="e">
        <x:f>HYPERLINK("https://data.zhiyitech.cn/itemDetail/overview/base?itemId=1035650005426","打开知衣")</x:f>
        <x:v>HYPERLINK is not implemented. linkLocation=https://data.zhiyitech.cn/itemDetail/overview/base?itemId=1035650005426, friendlyName=打开知衣</x:v>
      </x:c>
      <x:c r="N655" s="25" t="e">
        <x:f>HYPERLINK("https://img.alicdn.com/bao/uploaded/i2/2206650747660/O1CN01l56PK426SKzfh4ttI_!!4611686018427382540-0-item_pic.jpg","查看主图")</x:f>
        <x:v>HYPERLINK is not implemented. linkLocation=https://img.alicdn.com/bao/uploaded/i2/2206650747660/O1CN01l56PK426SKzfh4ttI_!!4611686018427382540-0-item_pic.jpg, friendlyName=查看主图</x:v>
      </x:c>
      <x:c r="O655" s="9" t="str">
        <x:v>标题及既有类目语义复核；【七七酱直播间】MAXRIENY新中式绣花包臀H型半裙款高腰裙；原类目及标题已能确认半身裙；展示使用已知大类，未知裙长下沉到结构字段，不强猜长短。</x:v>
      </x:c>
      <x:c r="P655" s="9" t="str">
        <x:v>普通男女装</x:v>
      </x:c>
      <x:c r="Q655" s="9" t="str">
        <x:v>W_SKIRTS_AVGPAID_1300_1400_ANNUAL2026.xlsx</x:v>
      </x:c>
      <x:c r="R655" s="9" t="str">
        <x:v>默认</x:v>
      </x:c>
      <x:c r="S655" s="9" t="n">
        <x:v>111</x:v>
      </x:c>
      <x:c r="T655" s="9" t="str">
        <x:v>bd4dae1e08e9eca7ddd0669235bf59107cdc418b9c2898fc16f36a7ab5748692</x:v>
      </x:c>
      <x:c r="U655" s="9" t="str">
        <x:v>W_SKIRTS_AVGPAID_1300_1400_ANNUAL2026</x:v>
      </x:c>
      <x:c r="V655" s="9" t="str">
        <x:v>W_SKIRTS_AVGPAID_1300_1400_ANNUAL2026.xlsx / 默认 / 第111行 / SHA256 bd4dae1e08e9eca7ddd0669235bf59107cdc418b9c2898fc16f36a7ab5748692</x:v>
      </x:c>
    </x:row>
    <x:row r="656" ht="58" customHeight="1">
      <x:c r="A656" s="23" t="str">
        <x:v>1036695055352</x:v>
      </x:c>
      <x:c r="B656" s="22"/>
      <x:c r="C656" s="22"/>
      <x:c r="D656" s="22"/>
      <x:c r="E656" s="9" t="str">
        <x:v>裙长未明确</x:v>
      </x:c>
      <x:c r="F656" s="9" t="str">
        <x:v>裙装</x:v>
      </x:c>
      <x:c r="G656" s="9" t="str">
        <x:v>半身裙</x:v>
      </x:c>
      <x:c r="H656" s="9" t="str">
        <x:v>女</x:v>
      </x:c>
      <x:c r="I656" s="9" t="str">
        <x:v>MAXRIENY爱德华镂空半裙</x:v>
      </x:c>
      <x:c r="J656" s="9" t="str">
        <x:v>MAXRIENY</x:v>
      </x:c>
      <x:c r="K656" s="24" t="n">
        <x:v>1523.78</x:v>
      </x:c>
      <x:c r="L656" s="25" t="e">
        <x:f>HYPERLINK("https://item.taobao.com/item.htm?id=1036695055352","打开商品")</x:f>
        <x:v>HYPERLINK is not implemented. linkLocation=https://item.taobao.com/item.htm?id=1036695055352, friendlyName=打开商品</x:v>
      </x:c>
      <x:c r="M656" s="25" t="e">
        <x:f>HYPERLINK("https://data.zhiyitech.cn/itemDetail/overview/base?itemId=1036695055352","打开知衣")</x:f>
        <x:v>HYPERLINK is not implemented. linkLocation=https://data.zhiyitech.cn/itemDetail/overview/base?itemId=1036695055352, friendlyName=打开知衣</x:v>
      </x:c>
      <x:c r="N656" s="25" t="e">
        <x:f>HYPERLINK("https://img.alicdn.com/bao/uploaded/i2/2245045526/O1CN01WfposAUnukB1chua-2245045526.jpg","查看主图")</x:f>
        <x:v>HYPERLINK is not implemented. linkLocation=https://img.alicdn.com/bao/uploaded/i2/2245045526/O1CN01WfposAUnukB1chua-2245045526.jpg, friendlyName=查看主图</x:v>
      </x:c>
      <x:c r="O656" s="9" t="str">
        <x:v>标题及既有类目语义复核；MAXRIENY爱德华镂空半裙；原类目及标题已能确认半身裙；展示使用已知大类，未知裙长下沉到结构字段，不强猜长短。</x:v>
      </x:c>
      <x:c r="P656" s="9" t="str">
        <x:v>普通男女装</x:v>
      </x:c>
      <x:c r="Q656" s="9" t="str">
        <x:v>W_SKIRTS_AVGPAID_1500_1600_ANNUAL2026.xlsx</x:v>
      </x:c>
      <x:c r="R656" s="9" t="str">
        <x:v>默认</x:v>
      </x:c>
      <x:c r="S656" s="9" t="n">
        <x:v>227</x:v>
      </x:c>
      <x:c r="T656" s="9" t="str">
        <x:v>deede8b56943df4f914be45dba170f12e69064023d6ef0e88dbde1764f6ba23e</x:v>
      </x:c>
      <x:c r="U656" s="9" t="str">
        <x:v>W_SKIRTS_AVGPAID_1500_1600_ANNUAL2026</x:v>
      </x:c>
      <x:c r="V656" s="9" t="str">
        <x:v>W_SKIRTS_AVGPAID_1500_1600_ANNUAL2026.xlsx / 默认 / 第227行 / SHA256 deede8b56943df4f914be45dba170f12e69064023d6ef0e88dbde1764f6ba23e</x:v>
      </x:c>
    </x:row>
    <x:row r="657" ht="58" customHeight="1">
      <x:c r="A657" s="23" t="str">
        <x:v>1037061030555</x:v>
      </x:c>
      <x:c r="B657" s="22"/>
      <x:c r="C657" s="22"/>
      <x:c r="D657" s="22"/>
      <x:c r="E657" s="9" t="str">
        <x:v>裙长未明确</x:v>
      </x:c>
      <x:c r="F657" s="9" t="str">
        <x:v>裙装</x:v>
      </x:c>
      <x:c r="G657" s="9" t="str">
        <x:v>半身裙</x:v>
      </x:c>
      <x:c r="H657" s="9" t="str">
        <x:v>女</x:v>
      </x:c>
      <x:c r="I657" s="9" t="str">
        <x:v>MAXRIENY法式复古蕾丝散摆半身裙</x:v>
      </x:c>
      <x:c r="J657" s="9" t="str">
        <x:v>MAXRIENY</x:v>
      </x:c>
      <x:c r="K657" s="24" t="n">
        <x:v>1525.87</x:v>
      </x:c>
      <x:c r="L657" s="25" t="e">
        <x:f>HYPERLINK("https://item.taobao.com/item.htm?id=1037061030555","打开商品")</x:f>
        <x:v>HYPERLINK is not implemented. linkLocation=https://item.taobao.com/item.htm?id=1037061030555, friendlyName=打开商品</x:v>
      </x:c>
      <x:c r="M657" s="25" t="e">
        <x:f>HYPERLINK("https://data.zhiyitech.cn/itemDetail/overview/base?itemId=1037061030555","打开知衣")</x:f>
        <x:v>HYPERLINK is not implemented. linkLocation=https://data.zhiyitech.cn/itemDetail/overview/base?itemId=1037061030555, friendlyName=打开知衣</x:v>
      </x:c>
      <x:c r="N657" s="25" t="e">
        <x:f>HYPERLINK("https://img.alicdn.com/bao/uploaded/i4/2245045526/O1CN01QDZgSIiTQNL1chua-2245045526.jpg","查看主图")</x:f>
        <x:v>HYPERLINK is not implemented. linkLocation=https://img.alicdn.com/bao/uploaded/i4/2245045526/O1CN01QDZgSIiTQNL1chua-2245045526.jpg, friendlyName=查看主图</x:v>
      </x:c>
      <x:c r="O657" s="9" t="str">
        <x:v>标题及既有类目语义复核；MAXRIENY法式复古蕾丝散摆半身裙；原类目及标题已能确认半身裙；展示使用已知大类，未知裙长下沉到结构字段，不强猜长短。</x:v>
      </x:c>
      <x:c r="P657" s="9" t="str">
        <x:v>普通男女装</x:v>
      </x:c>
      <x:c r="Q657" s="9" t="str">
        <x:v>W_SKIRTS_AVGPAID_1500_1600_ANNUAL2026.xlsx</x:v>
      </x:c>
      <x:c r="R657" s="9" t="str">
        <x:v>默认</x:v>
      </x:c>
      <x:c r="S657" s="9" t="n">
        <x:v>366</x:v>
      </x:c>
      <x:c r="T657" s="9" t="str">
        <x:v>deede8b56943df4f914be45dba170f12e69064023d6ef0e88dbde1764f6ba23e</x:v>
      </x:c>
      <x:c r="U657" s="9" t="str">
        <x:v>W_SKIRTS_AVGPAID_1500_1600_ANNUAL2026</x:v>
      </x:c>
      <x:c r="V657" s="9" t="str">
        <x:v>W_SKIRTS_AVGPAID_1500_1600_ANNUAL2026.xlsx / 默认 / 第366行 / SHA256 deede8b56943df4f914be45dba170f12e69064023d6ef0e88dbde1764f6ba23e</x:v>
      </x:c>
    </x:row>
    <x:row r="658" ht="58" customHeight="1">
      <x:c r="A658" s="23" t="str">
        <x:v>1038348165261</x:v>
      </x:c>
      <x:c r="B658" s="22"/>
      <x:c r="C658" s="22"/>
      <x:c r="D658" s="22"/>
      <x:c r="E658" s="9" t="str">
        <x:v>裙长未明确</x:v>
      </x:c>
      <x:c r="F658" s="9" t="str">
        <x:v>裙装</x:v>
      </x:c>
      <x:c r="G658" s="9" t="str">
        <x:v>半身裙</x:v>
      </x:c>
      <x:c r="H658" s="9" t="str">
        <x:v>女</x:v>
      </x:c>
      <x:c r="I658" s="9" t="str">
        <x:v>MAXRIENY法式优雅绣花网纱半身裙</x:v>
      </x:c>
      <x:c r="J658" s="9" t="str">
        <x:v>MAXRIENY</x:v>
      </x:c>
      <x:c r="K658" s="24" t="n">
        <x:v>1586.38</x:v>
      </x:c>
      <x:c r="L658" s="25" t="e">
        <x:f>HYPERLINK("https://item.taobao.com/item.htm?id=1038348165261","打开商品")</x:f>
        <x:v>HYPERLINK is not implemented. linkLocation=https://item.taobao.com/item.htm?id=1038348165261, friendlyName=打开商品</x:v>
      </x:c>
      <x:c r="M658" s="25" t="e">
        <x:f>HYPERLINK("https://data.zhiyitech.cn/itemDetail/overview/base?itemId=1038348165261","打开知衣")</x:f>
        <x:v>HYPERLINK is not implemented. linkLocation=https://data.zhiyitech.cn/itemDetail/overview/base?itemId=1038348165261, friendlyName=打开知衣</x:v>
      </x:c>
      <x:c r="N658" s="25" t="e">
        <x:f>HYPERLINK("https://img.alicdn.com/bao/uploaded/i4/2245045526/O1CN01wn3zWFLh1sG1chua-2245045526.jpg","查看主图")</x:f>
        <x:v>HYPERLINK is not implemented. linkLocation=https://img.alicdn.com/bao/uploaded/i4/2245045526/O1CN01wn3zWFLh1sG1chua-2245045526.jpg, friendlyName=查看主图</x:v>
      </x:c>
      <x:c r="O658" s="9" t="str">
        <x:v>标题及既有类目语义复核；MAXRIENY法式优雅绣花网纱半身裙；原类目及标题已能确认半身裙；展示使用已知大类，未知裙长下沉到结构字段，不强猜长短。</x:v>
      </x:c>
      <x:c r="P658" s="9" t="str">
        <x:v>普通男女装</x:v>
      </x:c>
      <x:c r="Q658" s="9" t="str">
        <x:v>W_SKIRTS_AVGPAID_1500_1600_ANNUAL2026.xlsx</x:v>
      </x:c>
      <x:c r="R658" s="9" t="str">
        <x:v>默认</x:v>
      </x:c>
      <x:c r="S658" s="9" t="n">
        <x:v>365</x:v>
      </x:c>
      <x:c r="T658" s="9" t="str">
        <x:v>deede8b56943df4f914be45dba170f12e69064023d6ef0e88dbde1764f6ba23e</x:v>
      </x:c>
      <x:c r="U658" s="9" t="str">
        <x:v>W_SKIRTS_AVGPAID_1500_1600_ANNUAL2026</x:v>
      </x:c>
      <x:c r="V658" s="9" t="str">
        <x:v>W_SKIRTS_AVGPAID_1500_1600_ANNUAL2026.xlsx / 默认 / 第365行 / SHA256 deede8b56943df4f914be45dba170f12e69064023d6ef0e88dbde1764f6ba23e</x:v>
      </x:c>
    </x:row>
    <x:row r="659" ht="58" customHeight="1">
      <x:c r="A659" s="23" t="str">
        <x:v>1048293077304</x:v>
      </x:c>
      <x:c r="B659" s="22"/>
      <x:c r="C659" s="22"/>
      <x:c r="D659" s="22"/>
      <x:c r="E659" s="9" t="str">
        <x:v>裙长未明确</x:v>
      </x:c>
      <x:c r="F659" s="9" t="str">
        <x:v>裙装</x:v>
      </x:c>
      <x:c r="G659" s="9" t="str">
        <x:v>半身裙</x:v>
      </x:c>
      <x:c r="H659" s="9" t="str">
        <x:v>女</x:v>
      </x:c>
      <x:c r="I659" s="9" t="str">
        <x:v>MAXRIENY法式田园刺绣A字半身裙</x:v>
      </x:c>
      <x:c r="J659" s="9" t="str">
        <x:v>MAXRIENY</x:v>
      </x:c>
      <x:c r="K659" s="24" t="n">
        <x:v>1548.97</x:v>
      </x:c>
      <x:c r="L659" s="25" t="e">
        <x:f>HYPERLINK("https://item.taobao.com/item.htm?id=1048293077304","打开商品")</x:f>
        <x:v>HYPERLINK is not implemented. linkLocation=https://item.taobao.com/item.htm?id=1048293077304, friendlyName=打开商品</x:v>
      </x:c>
      <x:c r="M659" s="25" t="e">
        <x:f>HYPERLINK("https://data.zhiyitech.cn/itemDetail/overview/base?itemId=1048293077304","打开知衣")</x:f>
        <x:v>HYPERLINK is not implemented. linkLocation=https://data.zhiyitech.cn/itemDetail/overview/base?itemId=1048293077304, friendlyName=打开知衣</x:v>
      </x:c>
      <x:c r="N659" s="25" t="e">
        <x:f>HYPERLINK("https://img.alicdn.com/bao/uploaded/i2/2245045526/O1CN017Ee3aWNt9VH1chua-2245045526.jpg","查看主图")</x:f>
        <x:v>HYPERLINK is not implemented. linkLocation=https://img.alicdn.com/bao/uploaded/i2/2245045526/O1CN017Ee3aWNt9VH1chua-2245045526.jpg, friendlyName=查看主图</x:v>
      </x:c>
      <x:c r="O659" s="9" t="str">
        <x:v>标题及既有类目语义复核；MAXRIENY法式田园刺绣A字半身裙；原类目及标题已能确认半身裙；展示使用已知大类，未知裙长下沉到结构字段，不强猜长短。</x:v>
      </x:c>
      <x:c r="P659" s="9" t="str">
        <x:v>普通男女装</x:v>
      </x:c>
      <x:c r="Q659" s="9" t="str">
        <x:v>W_SKIRTS_AVGPAID_1500_1600_ANNUAL2026.xlsx</x:v>
      </x:c>
      <x:c r="R659" s="9" t="str">
        <x:v>默认</x:v>
      </x:c>
      <x:c r="S659" s="9" t="n">
        <x:v>217</x:v>
      </x:c>
      <x:c r="T659" s="9" t="str">
        <x:v>deede8b56943df4f914be45dba170f12e69064023d6ef0e88dbde1764f6ba23e</x:v>
      </x:c>
      <x:c r="U659" s="9" t="str">
        <x:v>W_SKIRTS_AVGPAID_1500_1600_ANNUAL2026</x:v>
      </x:c>
      <x:c r="V659" s="9" t="str">
        <x:v>W_SKIRTS_AVGPAID_1500_1600_ANNUAL2026.xlsx / 默认 / 第217行 / SHA256 deede8b56943df4f914be45dba170f12e69064023d6ef0e88dbde1764f6ba23e</x:v>
      </x:c>
    </x:row>
    <x:row r="660" ht="58" customHeight="1">
      <x:c r="A660" s="23" t="str">
        <x:v>1053087565147</x:v>
      </x:c>
      <x:c r="B660" s="22"/>
      <x:c r="C660" s="22"/>
      <x:c r="D660" s="22"/>
      <x:c r="E660" s="9" t="str">
        <x:v>裙长未明确</x:v>
      </x:c>
      <x:c r="F660" s="9" t="str">
        <x:v>裙装</x:v>
      </x:c>
      <x:c r="G660" s="9" t="str">
        <x:v>半身裙</x:v>
      </x:c>
      <x:c r="H660" s="9" t="str">
        <x:v>女</x:v>
      </x:c>
      <x:c r="I660" s="9" t="str">
        <x:v>MAXRIENY蓝格纹高腰散摆半身裙</x:v>
      </x:c>
      <x:c r="J660" s="9" t="str">
        <x:v>MAXRIENY</x:v>
      </x:c>
      <x:c r="K660" s="24" t="n">
        <x:v>1545.57</x:v>
      </x:c>
      <x:c r="L660" s="25" t="e">
        <x:f>HYPERLINK("https://item.taobao.com/item.htm?id=1053087565147","打开商品")</x:f>
        <x:v>HYPERLINK is not implemented. linkLocation=https://item.taobao.com/item.htm?id=1053087565147, friendlyName=打开商品</x:v>
      </x:c>
      <x:c r="M660" s="25" t="e">
        <x:f>HYPERLINK("https://data.zhiyitech.cn/itemDetail/overview/base?itemId=1053087565147","打开知衣")</x:f>
        <x:v>HYPERLINK is not implemented. linkLocation=https://data.zhiyitech.cn/itemDetail/overview/base?itemId=1053087565147, friendlyName=打开知衣</x:v>
      </x:c>
      <x:c r="N660" s="25" t="e">
        <x:f>HYPERLINK("https://img.alicdn.com/bao/uploaded/i4/2245045526/O1CN01D4hzwyvCOYL1chua-2245045526.jpg","查看主图")</x:f>
        <x:v>HYPERLINK is not implemented. linkLocation=https://img.alicdn.com/bao/uploaded/i4/2245045526/O1CN01D4hzwyvCOYL1chua-2245045526.jpg, friendlyName=查看主图</x:v>
      </x:c>
      <x:c r="O660" s="9" t="str">
        <x:v>标题及既有类目语义复核；MAXRIENY蓝格纹高腰散摆半身裙；原类目及标题已能确认半身裙；展示使用已知大类，未知裙长下沉到结构字段，不强猜长短。</x:v>
      </x:c>
      <x:c r="P660" s="9" t="str">
        <x:v>普通男女装</x:v>
      </x:c>
      <x:c r="Q660" s="9" t="str">
        <x:v>W_SKIRTS_AVGPAID_1500_1600_ANNUAL2026.xlsx</x:v>
      </x:c>
      <x:c r="R660" s="9" t="str">
        <x:v>默认</x:v>
      </x:c>
      <x:c r="S660" s="9" t="n">
        <x:v>94</x:v>
      </x:c>
      <x:c r="T660" s="9" t="str">
        <x:v>deede8b56943df4f914be45dba170f12e69064023d6ef0e88dbde1764f6ba23e</x:v>
      </x:c>
      <x:c r="U660" s="9" t="str">
        <x:v>W_SKIRTS_AVGPAID_1500_1600_ANNUAL2026</x:v>
      </x:c>
      <x:c r="V660" s="9" t="str">
        <x:v>W_SKIRTS_AVGPAID_1500_1600_ANNUAL2026.xlsx / 默认 / 第94行 / SHA256 deede8b56943df4f914be45dba170f12e69064023d6ef0e88dbde1764f6ba23e</x:v>
      </x:c>
    </x:row>
    <x:row r="661" ht="58" customHeight="1">
      <x:c r="A661" s="23" t="str">
        <x:v>1053309761620</x:v>
      </x:c>
      <x:c r="B661" s="22"/>
      <x:c r="C661" s="22"/>
      <x:c r="D661" s="22"/>
      <x:c r="E661" s="9" t="str">
        <x:v>裙长未明确</x:v>
      </x:c>
      <x:c r="F661" s="9" t="str">
        <x:v>裙装</x:v>
      </x:c>
      <x:c r="G661" s="9" t="str">
        <x:v>半身裙</x:v>
      </x:c>
      <x:c r="H661" s="9" t="str">
        <x:v>女</x:v>
      </x:c>
      <x:c r="I661" s="9" t="str">
        <x:v>MAXRIENY红色碎花鱼尾半身裙</x:v>
      </x:c>
      <x:c r="J661" s="9" t="str">
        <x:v>MAXRIENY</x:v>
      </x:c>
      <x:c r="K661" s="24" t="n">
        <x:v>1341.74</x:v>
      </x:c>
      <x:c r="L661" s="25" t="e">
        <x:f>HYPERLINK("https://item.taobao.com/item.htm?id=1053309761620","打开商品")</x:f>
        <x:v>HYPERLINK is not implemented. linkLocation=https://item.taobao.com/item.htm?id=1053309761620, friendlyName=打开商品</x:v>
      </x:c>
      <x:c r="M661" s="25" t="e">
        <x:f>HYPERLINK("https://data.zhiyitech.cn/itemDetail/overview/base?itemId=1053309761620","打开知衣")</x:f>
        <x:v>HYPERLINK is not implemented. linkLocation=https://data.zhiyitech.cn/itemDetail/overview/base?itemId=1053309761620, friendlyName=打开知衣</x:v>
      </x:c>
      <x:c r="N661" s="25" t="e">
        <x:f>HYPERLINK("https://img.alicdn.com/bao/uploaded/i1/2245045526/O1CN01zNPgZ2u2AvB1chua-2245045526.jpg","查看主图")</x:f>
        <x:v>HYPERLINK is not implemented. linkLocation=https://img.alicdn.com/bao/uploaded/i1/2245045526/O1CN01zNPgZ2u2AvB1chua-2245045526.jpg, friendlyName=查看主图</x:v>
      </x:c>
      <x:c r="O661" s="9" t="str">
        <x:v>标题及既有类目语义复核；MAXRIENY红色碎花鱼尾半身裙；原类目及标题已能确认半身裙；展示使用已知大类，未知裙长下沉到结构字段，不强猜长短。</x:v>
      </x:c>
      <x:c r="P661" s="9" t="str">
        <x:v>普通男女装</x:v>
      </x:c>
      <x:c r="Q661" s="9" t="str">
        <x:v>W_SKIRTS_AVGPAID_1300_1400_ANNUAL2026.xlsx</x:v>
      </x:c>
      <x:c r="R661" s="9" t="str">
        <x:v>默认</x:v>
      </x:c>
      <x:c r="S661" s="9" t="n">
        <x:v>89</x:v>
      </x:c>
      <x:c r="T661" s="9" t="str">
        <x:v>bd4dae1e08e9eca7ddd0669235bf59107cdc418b9c2898fc16f36a7ab5748692</x:v>
      </x:c>
      <x:c r="U661" s="9" t="str">
        <x:v>W_SKIRTS_AVGPAID_1300_1400_ANNUAL2026</x:v>
      </x:c>
      <x:c r="V661" s="9" t="str">
        <x:v>W_SKIRTS_AVGPAID_1300_1400_ANNUAL2026.xlsx / 默认 / 第89行 / SHA256 bd4dae1e08e9eca7ddd0669235bf59107cdc418b9c2898fc16f36a7ab5748692</x:v>
      </x:c>
    </x:row>
    <x:row r="662" ht="58" customHeight="1">
      <x:c r="A662" s="23" t="str">
        <x:v>1053378865430</x:v>
      </x:c>
      <x:c r="B662" s="22"/>
      <x:c r="C662" s="22"/>
      <x:c r="D662" s="22"/>
      <x:c r="E662" s="9" t="str">
        <x:v>裙长未明确</x:v>
      </x:c>
      <x:c r="F662" s="9" t="str">
        <x:v>裙装</x:v>
      </x:c>
      <x:c r="G662" s="9" t="str">
        <x:v>半身裙</x:v>
      </x:c>
      <x:c r="H662" s="9" t="str">
        <x:v>女</x:v>
      </x:c>
      <x:c r="I662" s="9" t="str">
        <x:v>【商场同款】MAXRIENY复古镂空针织鱼尾半身裙26秋黑色包臀半裙</x:v>
      </x:c>
      <x:c r="J662" s="9" t="str">
        <x:v>MAXRIENY</x:v>
      </x:c>
      <x:c r="K662" s="24" t="n">
        <x:v>1388.68</x:v>
      </x:c>
      <x:c r="L662" s="25" t="e">
        <x:f>HYPERLINK("https://item.taobao.com/item.htm?id=1053378865430","打开商品")</x:f>
        <x:v>HYPERLINK is not implemented. linkLocation=https://item.taobao.com/item.htm?id=1053378865430, friendlyName=打开商品</x:v>
      </x:c>
      <x:c r="M662" s="25" t="e">
        <x:f>HYPERLINK("https://data.zhiyitech.cn/itemDetail/overview/base?itemId=1053378865430","打开知衣")</x:f>
        <x:v>HYPERLINK is not implemented. linkLocation=https://data.zhiyitech.cn/itemDetail/overview/base?itemId=1053378865430, friendlyName=打开知衣</x:v>
      </x:c>
      <x:c r="N662" s="25" t="e">
        <x:f>HYPERLINK("https://img.alicdn.com/bao/uploaded/i1/2245045526/O1CN01p7BTud90RoF1chua-2245045526.jpg","查看主图")</x:f>
        <x:v>HYPERLINK is not implemented. linkLocation=https://img.alicdn.com/bao/uploaded/i1/2245045526/O1CN01p7BTud90RoF1chua-2245045526.jpg, friendlyName=查看主图</x:v>
      </x:c>
      <x:c r="O662" s="9" t="str">
        <x:v>标题及既有类目语义复核；【商场同款】MAXRIENY复古镂空针织鱼尾半身裙26秋黑色包臀半裙；原类目及标题已能确认半身裙；展示使用已知大类，未知裙长下沉到结构字段，不强猜长短。</x:v>
      </x:c>
      <x:c r="P662" s="9" t="str">
        <x:v>普通男女装</x:v>
      </x:c>
      <x:c r="Q662" s="9" t="str">
        <x:v>W_SKIRTS_AVGPAID_1300_1400_ANNUAL2026.xlsx</x:v>
      </x:c>
      <x:c r="R662" s="9" t="str">
        <x:v>默认</x:v>
      </x:c>
      <x:c r="S662" s="9" t="n">
        <x:v>195</x:v>
      </x:c>
      <x:c r="T662" s="9" t="str">
        <x:v>bd4dae1e08e9eca7ddd0669235bf59107cdc418b9c2898fc16f36a7ab5748692</x:v>
      </x:c>
      <x:c r="U662" s="9" t="str">
        <x:v>W_SKIRTS_AVGPAID_1300_1400_ANNUAL2026</x:v>
      </x:c>
      <x:c r="V662" s="9" t="str">
        <x:v>W_SKIRTS_AVGPAID_1300_1400_ANNUAL2026.xlsx / 默认 / 第195行 / SHA256 bd4dae1e08e9eca7ddd0669235bf59107cdc418b9c2898fc16f36a7ab5748692</x:v>
      </x:c>
    </x:row>
    <x:row r="663" ht="58" customHeight="1">
      <x:c r="A663" s="23" t="str">
        <x:v>1070097268087</x:v>
      </x:c>
      <x:c r="B663" s="22"/>
      <x:c r="C663" s="22"/>
      <x:c r="D663" s="22"/>
      <x:c r="E663" s="9" t="str">
        <x:v>裙长未明确</x:v>
      </x:c>
      <x:c r="F663" s="9" t="str">
        <x:v>裙装</x:v>
      </x:c>
      <x:c r="G663" s="9" t="str">
        <x:v>半身裙</x:v>
      </x:c>
      <x:c r="H663" s="9" t="str">
        <x:v>女</x:v>
      </x:c>
      <x:c r="I663" s="9" t="str">
        <x:v>【主题限量】MAXRIENY都市日奢刺绣网纱半身裙26秋醋酸混纺丝绒裙</x:v>
      </x:c>
      <x:c r="J663" s="9" t="str">
        <x:v>MAXRIENY</x:v>
      </x:c>
      <x:c r="K663" s="24" t="n">
        <x:v>1755.73</x:v>
      </x:c>
      <x:c r="L663" s="25" t="e">
        <x:f>HYPERLINK("https://item.taobao.com/item.htm?id=1070097268087","打开商品")</x:f>
        <x:v>HYPERLINK is not implemented. linkLocation=https://item.taobao.com/item.htm?id=1070097268087, friendlyName=打开商品</x:v>
      </x:c>
      <x:c r="M663" s="25" t="e">
        <x:f>HYPERLINK("https://data.zhiyitech.cn/itemDetail/overview/base?itemId=1070097268087","打开知衣")</x:f>
        <x:v>HYPERLINK is not implemented. linkLocation=https://data.zhiyitech.cn/itemDetail/overview/base?itemId=1070097268087, friendlyName=打开知衣</x:v>
      </x:c>
      <x:c r="N663" s="25" t="e">
        <x:f>HYPERLINK("https://img.alicdn.com/bao/uploaded/i2/2245045526/O1CN018tePdPVBtTB1chua_!!4611686018427383062-0-item_pic.jpg","查看主图")</x:f>
        <x:v>HYPERLINK is not implemented. linkLocation=https://img.alicdn.com/bao/uploaded/i2/2245045526/O1CN018tePdPVBtTB1chua_!!4611686018427383062-0-item_pic.jpg, friendlyName=查看主图</x:v>
      </x:c>
      <x:c r="O663" s="9" t="str">
        <x:v>标题及既有类目语义复核；【主题限量】MAXRIENY都市日奢刺绣网纱半身裙26秋醋酸混纺丝绒裙；原类目及标题已能确认半身裙；展示使用已知大类，未知裙长下沉到结构字段，不强猜长短。</x:v>
      </x:c>
      <x:c r="P663" s="9" t="str">
        <x:v>普通男女装</x:v>
      </x:c>
      <x:c r="Q663" s="9" t="str">
        <x:v>W_SKIRTS_AVGPAID_1700_1800_ANNUAL2026.xlsx</x:v>
      </x:c>
      <x:c r="R663" s="9" t="str">
        <x:v>默认</x:v>
      </x:c>
      <x:c r="S663" s="9" t="n">
        <x:v>224</x:v>
      </x:c>
      <x:c r="T663" s="9" t="str">
        <x:v>c25ed77c53c7c5cfcf728778a0e9b297d8689503f62756a939cbd534ca9b587a</x:v>
      </x:c>
      <x:c r="U663" s="9" t="str">
        <x:v>W_SKIRTS_AVGPAID_1700_1800_ANNUAL2026</x:v>
      </x:c>
      <x:c r="V663" s="9" t="str">
        <x:v>W_SKIRTS_AVGPAID_1700_1800_ANNUAL2026.xlsx / 默认 / 第224行 / SHA256 c25ed77c53c7c5cfcf728778a0e9b297d8689503f62756a939cbd534ca9b587a</x:v>
      </x:c>
    </x:row>
    <x:row r="664" ht="58" customHeight="1">
      <x:c r="A664" s="23" t="str">
        <x:v>1073039717002</x:v>
      </x:c>
      <x:c r="B664" s="22"/>
      <x:c r="C664" s="22"/>
      <x:c r="D664" s="22"/>
      <x:c r="E664" s="9" t="str">
        <x:v>裙长未明确</x:v>
      </x:c>
      <x:c r="F664" s="9" t="str">
        <x:v>裙装</x:v>
      </x:c>
      <x:c r="G664" s="9" t="str">
        <x:v>半身裙</x:v>
      </x:c>
      <x:c r="H664" s="9" t="str">
        <x:v>女</x:v>
      </x:c>
      <x:c r="I664" s="9" t="str">
        <x:v>【主题纪念】MAXRIENY浪漫诗人单排扣PU皮半身裙26秋小鱼尾皮裙</x:v>
      </x:c>
      <x:c r="J664" s="9" t="str">
        <x:v>MAXRIENY</x:v>
      </x:c>
      <x:c r="K664" s="24" t="n">
        <x:v>1318.87</x:v>
      </x:c>
      <x:c r="L664" s="25" t="e">
        <x:f>HYPERLINK("https://item.taobao.com/item.htm?id=1073039717002","打开商品")</x:f>
        <x:v>HYPERLINK is not implemented. linkLocation=https://item.taobao.com/item.htm?id=1073039717002, friendlyName=打开商品</x:v>
      </x:c>
      <x:c r="M664" s="25" t="e">
        <x:f>HYPERLINK("https://data.zhiyitech.cn/itemDetail/overview/base?itemId=1073039717002","打开知衣")</x:f>
        <x:v>HYPERLINK is not implemented. linkLocation=https://data.zhiyitech.cn/itemDetail/overview/base?itemId=1073039717002, friendlyName=打开知衣</x:v>
      </x:c>
      <x:c r="N664" s="25" t="e">
        <x:f>HYPERLINK("https://img.alicdn.com/bao/uploaded/i3/2245045526/O1CN01GlLXnz3wJqC1chua-2245045526.jpg","查看主图")</x:f>
        <x:v>HYPERLINK is not implemented. linkLocation=https://img.alicdn.com/bao/uploaded/i3/2245045526/O1CN01GlLXnz3wJqC1chua-2245045526.jpg, friendlyName=查看主图</x:v>
      </x:c>
      <x:c r="O664" s="9" t="str">
        <x:v>标题及既有类目语义复核；【主题纪念】MAXRIENY浪漫诗人单排扣PU皮半身裙26秋小鱼尾皮裙；原类目及标题已能确认半身裙；展示使用已知大类，未知裙长下沉到结构字段，不强猜长短。</x:v>
      </x:c>
      <x:c r="P664" s="9" t="str">
        <x:v>普通男女装</x:v>
      </x:c>
      <x:c r="Q664" s="9" t="str">
        <x:v>W_SKIRTS_AVGPAID_1300_1400_ANNUAL2026.xlsx</x:v>
      </x:c>
      <x:c r="R664" s="9" t="str">
        <x:v>默认</x:v>
      </x:c>
      <x:c r="S664" s="9" t="n">
        <x:v>258</x:v>
      </x:c>
      <x:c r="T664" s="9" t="str">
        <x:v>bd4dae1e08e9eca7ddd0669235bf59107cdc418b9c2898fc16f36a7ab5748692</x:v>
      </x:c>
      <x:c r="U664" s="9" t="str">
        <x:v>W_SKIRTS_AVGPAID_1300_1400_ANNUAL2026</x:v>
      </x:c>
      <x:c r="V664" s="9" t="str">
        <x:v>W_SKIRTS_AVGPAID_1300_1400_ANNUAL2026.xlsx / 默认 / 第258行 / SHA256 bd4dae1e08e9eca7ddd0669235bf59107cdc418b9c2898fc16f36a7ab5748692</x:v>
      </x:c>
    </x:row>
    <x:row r="665" ht="58" customHeight="1">
      <x:c r="A665" s="23" t="str">
        <x:v>1077519818327</x:v>
      </x:c>
      <x:c r="B665" s="22"/>
      <x:c r="C665" s="22"/>
      <x:c r="D665" s="22"/>
      <x:c r="E665" s="9" t="str">
        <x:v>裙长未明确</x:v>
      </x:c>
      <x:c r="F665" s="9" t="str">
        <x:v>裙装</x:v>
      </x:c>
      <x:c r="G665" s="9" t="str">
        <x:v>半身裙</x:v>
      </x:c>
      <x:c r="H665" s="9" t="str">
        <x:v>女</x:v>
      </x:c>
      <x:c r="I665" s="9" t="str">
        <x:v>【商场同款】MAXRIENY浪漫诗人绿野仙踪蕾丝半身裙26秋层叠蛋糕裙</x:v>
      </x:c>
      <x:c r="J665" s="9" t="str">
        <x:v>MAXRIENY</x:v>
      </x:c>
      <x:c r="K665" s="24" t="n">
        <x:v>1583.71</x:v>
      </x:c>
      <x:c r="L665" s="25" t="e">
        <x:f>HYPERLINK("https://item.taobao.com/item.htm?id=1077519818327","打开商品")</x:f>
        <x:v>HYPERLINK is not implemented. linkLocation=https://item.taobao.com/item.htm?id=1077519818327, friendlyName=打开商品</x:v>
      </x:c>
      <x:c r="M665" s="25" t="e">
        <x:f>HYPERLINK("https://data.zhiyitech.cn/itemDetail/overview/base?itemId=1077519818327","打开知衣")</x:f>
        <x:v>HYPERLINK is not implemented. linkLocation=https://data.zhiyitech.cn/itemDetail/overview/base?itemId=1077519818327, friendlyName=打开知衣</x:v>
      </x:c>
      <x:c r="N665" s="25" t="e">
        <x:f>HYPERLINK("https://img.alicdn.com/bao/uploaded/i4/2245045526/O1CN01l6Ksj7ocTqK1chua-2245045526.jpg","查看主图")</x:f>
        <x:v>HYPERLINK is not implemented. linkLocation=https://img.alicdn.com/bao/uploaded/i4/2245045526/O1CN01l6Ksj7ocTqK1chua-2245045526.jpg, friendlyName=查看主图</x:v>
      </x:c>
      <x:c r="O665" s="9" t="str">
        <x:v>标题及既有类目语义复核；【商场同款】MAXRIENY浪漫诗人绿野仙踪蕾丝半身裙26秋层叠蛋糕裙；原类目及标题已能确认半身裙；展示使用已知大类，未知裙长下沉到结构字段，不强猜长短。</x:v>
      </x:c>
      <x:c r="P665" s="9" t="str">
        <x:v>普通男女装</x:v>
      </x:c>
      <x:c r="Q665" s="9" t="str">
        <x:v>W_SKIRTS_AVGPAID_1500_1600_ANNUAL2026.xlsx</x:v>
      </x:c>
      <x:c r="R665" s="9" t="str">
        <x:v>默认</x:v>
      </x:c>
      <x:c r="S665" s="9" t="n">
        <x:v>495</x:v>
      </x:c>
      <x:c r="T665" s="9" t="str">
        <x:v>deede8b56943df4f914be45dba170f12e69064023d6ef0e88dbde1764f6ba23e</x:v>
      </x:c>
      <x:c r="U665" s="9" t="str">
        <x:v>W_SKIRTS_AVGPAID_1500_1600_ANNUAL2026</x:v>
      </x:c>
      <x:c r="V665" s="9" t="str">
        <x:v>W_SKIRTS_AVGPAID_1500_1600_ANNUAL2026.xlsx / 默认 / 第495行 / SHA256 deede8b56943df4f914be45dba170f12e69064023d6ef0e88dbde1764f6ba23e</x:v>
      </x:c>
    </x:row>
    <x:row r="666" ht="58" customHeight="1">
      <x:c r="A666" s="23" t="str">
        <x:v>874351512402</x:v>
      </x:c>
      <x:c r="B666" s="22"/>
      <x:c r="C666" s="22"/>
      <x:c r="D666" s="22"/>
      <x:c r="E666" s="9" t="str">
        <x:v>裙长未明确</x:v>
      </x:c>
      <x:c r="F666" s="9" t="str">
        <x:v>裙装</x:v>
      </x:c>
      <x:c r="G666" s="9" t="str">
        <x:v>半身裙</x:v>
      </x:c>
      <x:c r="H666" s="9" t="str">
        <x:v>女</x:v>
      </x:c>
      <x:c r="I666" s="9" t="str">
        <x:v>MAXRIENY冬季时尚半裙</x:v>
      </x:c>
      <x:c r="J666" s="9" t="str">
        <x:v>MAXRIENY</x:v>
      </x:c>
      <x:c r="K666" s="24" t="n">
        <x:v>1375</x:v>
      </x:c>
      <x:c r="L666" s="25" t="e">
        <x:f>HYPERLINK("https://item.taobao.com/item.htm?id=874351512402","打开商品")</x:f>
        <x:v>HYPERLINK is not implemented. linkLocation=https://item.taobao.com/item.htm?id=874351512402, friendlyName=打开商品</x:v>
      </x:c>
      <x:c r="M666" s="25" t="e">
        <x:f>HYPERLINK("https://data.zhiyitech.cn/itemDetail/overview/base?itemId=874351512402","打开知衣")</x:f>
        <x:v>HYPERLINK is not implemented. linkLocation=https://data.zhiyitech.cn/itemDetail/overview/base?itemId=874351512402, friendlyName=打开知衣</x:v>
      </x:c>
      <x:c r="N666" s="25" t="e">
        <x:f>HYPERLINK("https://img.alicdn.com/bao/uploaded/i3/2245045526/O1CN01r5lZ0lugc4H1chua-2245045526.jpg","查看主图")</x:f>
        <x:v>HYPERLINK is not implemented. linkLocation=https://img.alicdn.com/bao/uploaded/i3/2245045526/O1CN01r5lZ0lugc4H1chua-2245045526.jpg, friendlyName=查看主图</x:v>
      </x:c>
      <x:c r="O666" s="9" t="str">
        <x:v>标题及既有类目语义复核；MAXRIENY冬季时尚半裙；原类目及标题已能确认半身裙；展示使用已知大类，未知裙长下沉到结构字段，不强猜长短。</x:v>
      </x:c>
      <x:c r="P666" s="9" t="str">
        <x:v>普通男女装</x:v>
      </x:c>
      <x:c r="Q666" s="9" t="str">
        <x:v>W_SKIRTS_AVGPAID_1300_1400_ANNUAL2026.xlsx</x:v>
      </x:c>
      <x:c r="R666" s="9" t="str">
        <x:v>默认</x:v>
      </x:c>
      <x:c r="S666" s="9" t="n">
        <x:v>197</x:v>
      </x:c>
      <x:c r="T666" s="9" t="str">
        <x:v>bd4dae1e08e9eca7ddd0669235bf59107cdc418b9c2898fc16f36a7ab5748692</x:v>
      </x:c>
      <x:c r="U666" s="9" t="str">
        <x:v>W_SKIRTS_AVGPAID_1300_1400_ANNUAL2026</x:v>
      </x:c>
      <x:c r="V666" s="9" t="str">
        <x:v>W_SKIRTS_AVGPAID_1300_1400_ANNUAL2026.xlsx / 默认 / 第197行 / SHA256 bd4dae1e08e9eca7ddd0669235bf59107cdc418b9c2898fc16f36a7ab5748692</x:v>
      </x:c>
    </x:row>
    <x:row r="667" ht="58" customHeight="1">
      <x:c r="A667" s="23" t="str">
        <x:v>900576852355</x:v>
      </x:c>
      <x:c r="B667" s="22"/>
      <x:c r="C667" s="22"/>
      <x:c r="D667" s="22"/>
      <x:c r="E667" s="9" t="str">
        <x:v>裙长未明确</x:v>
      </x:c>
      <x:c r="F667" s="9" t="str">
        <x:v>裙装</x:v>
      </x:c>
      <x:c r="G667" s="9" t="str">
        <x:v>半身裙</x:v>
      </x:c>
      <x:c r="H667" s="9" t="str">
        <x:v>女</x:v>
      </x:c>
      <x:c r="I667" s="9" t="str">
        <x:v>MAXRIENY直筒开衩长半裙</x:v>
      </x:c>
      <x:c r="J667" s="9" t="str">
        <x:v>MAXRIENY</x:v>
      </x:c>
      <x:c r="K667" s="24" t="n">
        <x:v>1345.43</x:v>
      </x:c>
      <x:c r="L667" s="25" t="e">
        <x:f>HYPERLINK("https://item.taobao.com/item.htm?id=900576852355","打开商品")</x:f>
        <x:v>HYPERLINK is not implemented. linkLocation=https://item.taobao.com/item.htm?id=900576852355, friendlyName=打开商品</x:v>
      </x:c>
      <x:c r="M667" s="25" t="e">
        <x:f>HYPERLINK("https://data.zhiyitech.cn/itemDetail/overview/base?itemId=900576852355","打开知衣")</x:f>
        <x:v>HYPERLINK is not implemented. linkLocation=https://data.zhiyitech.cn/itemDetail/overview/base?itemId=900576852355, friendlyName=打开知衣</x:v>
      </x:c>
      <x:c r="N667" s="25" t="e">
        <x:f>HYPERLINK("https://img.alicdn.com/bao/uploaded/i2/2245045526/O1CN013EHn5nuskcK1chua-2245045526.jpg","查看主图")</x:f>
        <x:v>HYPERLINK is not implemented. linkLocation=https://img.alicdn.com/bao/uploaded/i2/2245045526/O1CN013EHn5nuskcK1chua-2245045526.jpg, friendlyName=查看主图</x:v>
      </x:c>
      <x:c r="O667" s="9" t="str">
        <x:v>标题及既有类目语义复核；MAXRIENY直筒开衩长半裙；原类目及标题已能确认半身裙；展示使用已知大类，未知裙长下沉到结构字段，不强猜长短。</x:v>
      </x:c>
      <x:c r="P667" s="9" t="str">
        <x:v>普通男女装</x:v>
      </x:c>
      <x:c r="Q667" s="9" t="str">
        <x:v>W_SKIRTS_AVGPAID_1300_1400_ANNUAL2026.xlsx</x:v>
      </x:c>
      <x:c r="R667" s="9" t="str">
        <x:v>默认</x:v>
      </x:c>
      <x:c r="S667" s="9" t="n">
        <x:v>163</x:v>
      </x:c>
      <x:c r="T667" s="9" t="str">
        <x:v>bd4dae1e08e9eca7ddd0669235bf59107cdc418b9c2898fc16f36a7ab5748692</x:v>
      </x:c>
      <x:c r="U667" s="9" t="str">
        <x:v>W_SKIRTS_AVGPAID_1300_1400_ANNUAL2026</x:v>
      </x:c>
      <x:c r="V667" s="9" t="str">
        <x:v>W_SKIRTS_AVGPAID_1300_1400_ANNUAL2026.xlsx / 默认 / 第163行 / SHA256 bd4dae1e08e9eca7ddd0669235bf59107cdc418b9c2898fc16f36a7ab5748692</x:v>
      </x:c>
    </x:row>
    <x:row r="668" ht="58" customHeight="1">
      <x:c r="A668" s="23" t="str">
        <x:v>903722940231</x:v>
      </x:c>
      <x:c r="B668" s="22"/>
      <x:c r="C668" s="22"/>
      <x:c r="D668" s="22"/>
      <x:c r="E668" s="9" t="str">
        <x:v>裙长未明确</x:v>
      </x:c>
      <x:c r="F668" s="9" t="str">
        <x:v>裙装</x:v>
      </x:c>
      <x:c r="G668" s="9" t="str">
        <x:v>半身裙</x:v>
      </x:c>
      <x:c r="H668" s="9" t="str">
        <x:v>女</x:v>
      </x:c>
      <x:c r="I668" s="9" t="str">
        <x:v>华丽甜美包臀微鱼尾半裙</x:v>
      </x:c>
      <x:c r="J668" s="9" t="str">
        <x:v>MAXRIENY</x:v>
      </x:c>
      <x:c r="K668" s="24" t="n">
        <x:v>1353.31</x:v>
      </x:c>
      <x:c r="L668" s="25" t="e">
        <x:f>HYPERLINK("https://item.taobao.com/item.htm?id=903722940231","打开商品")</x:f>
        <x:v>HYPERLINK is not implemented. linkLocation=https://item.taobao.com/item.htm?id=903722940231, friendlyName=打开商品</x:v>
      </x:c>
      <x:c r="M668" s="25" t="e">
        <x:f>HYPERLINK("https://data.zhiyitech.cn/itemDetail/overview/base?itemId=903722940231","打开知衣")</x:f>
        <x:v>HYPERLINK is not implemented. linkLocation=https://data.zhiyitech.cn/itemDetail/overview/base?itemId=903722940231, friendlyName=打开知衣</x:v>
      </x:c>
      <x:c r="N668" s="25" t="e">
        <x:f>HYPERLINK("https://img.alicdn.com/bao/uploaded/i2/2245045526/O1CN01NW3ZyrcDECG1chua-2245045526.jpg","查看主图")</x:f>
        <x:v>HYPERLINK is not implemented. linkLocation=https://img.alicdn.com/bao/uploaded/i2/2245045526/O1CN01NW3ZyrcDECG1chua-2245045526.jpg, friendlyName=查看主图</x:v>
      </x:c>
      <x:c r="O668" s="9" t="str">
        <x:v>标题及既有类目语义复核；华丽甜美包臀微鱼尾半裙；原类目及标题已能确认半身裙；展示使用已知大类，未知裙长下沉到结构字段，不强猜长短。</x:v>
      </x:c>
      <x:c r="P668" s="9" t="str">
        <x:v>普通男女装</x:v>
      </x:c>
      <x:c r="Q668" s="9" t="str">
        <x:v>W_SKIRTS_AVGPAID_1300_1400_ANNUAL2026.xlsx</x:v>
      </x:c>
      <x:c r="R668" s="9" t="str">
        <x:v>默认</x:v>
      </x:c>
      <x:c r="S668" s="9" t="n">
        <x:v>318</x:v>
      </x:c>
      <x:c r="T668" s="9" t="str">
        <x:v>bd4dae1e08e9eca7ddd0669235bf59107cdc418b9c2898fc16f36a7ab5748692</x:v>
      </x:c>
      <x:c r="U668" s="9" t="str">
        <x:v>W_SKIRTS_AVGPAID_1300_1400_ANNUAL2026</x:v>
      </x:c>
      <x:c r="V668" s="9" t="str">
        <x:v>W_SKIRTS_AVGPAID_1300_1400_ANNUAL2026.xlsx / 默认 / 第318行 / SHA256 bd4dae1e08e9eca7ddd0669235bf59107cdc418b9c2898fc16f36a7ab5748692</x:v>
      </x:c>
    </x:row>
    <x:row r="669" ht="58" customHeight="1">
      <x:c r="A669" s="23" t="str">
        <x:v>908304329439</x:v>
      </x:c>
      <x:c r="B669" s="22"/>
      <x:c r="C669" s="22"/>
      <x:c r="D669" s="22"/>
      <x:c r="E669" s="9" t="str">
        <x:v>裙长未明确</x:v>
      </x:c>
      <x:c r="F669" s="9" t="str">
        <x:v>裙装</x:v>
      </x:c>
      <x:c r="G669" s="9" t="str">
        <x:v>半身裙</x:v>
      </x:c>
      <x:c r="H669" s="9" t="str">
        <x:v>女</x:v>
      </x:c>
      <x:c r="I669" s="9" t="str">
        <x:v>下摆华丽感蕾丝拼接、天丝面料</x:v>
      </x:c>
      <x:c r="J669" s="9" t="str">
        <x:v>MAXRIENY</x:v>
      </x:c>
      <x:c r="K669" s="24" t="n">
        <x:v>1336.53</x:v>
      </x:c>
      <x:c r="L669" s="25" t="e">
        <x:f>HYPERLINK("https://item.taobao.com/item.htm?id=908304329439","打开商品")</x:f>
        <x:v>HYPERLINK is not implemented. linkLocation=https://item.taobao.com/item.htm?id=908304329439, friendlyName=打开商品</x:v>
      </x:c>
      <x:c r="M669" s="25" t="e">
        <x:f>HYPERLINK("https://data.zhiyitech.cn/itemDetail/overview/base?itemId=908304329439","打开知衣")</x:f>
        <x:v>HYPERLINK is not implemented. linkLocation=https://data.zhiyitech.cn/itemDetail/overview/base?itemId=908304329439, friendlyName=打开知衣</x:v>
      </x:c>
      <x:c r="N669" s="25" t="e">
        <x:f>HYPERLINK("https://img.alicdn.com/bao/uploaded/i2/2245045526/O1CN01lWMtDjXUkqC1chua-2245045526.jpg","查看主图")</x:f>
        <x:v>HYPERLINK is not implemented. linkLocation=https://img.alicdn.com/bao/uploaded/i2/2245045526/O1CN01lWMtDjXUkqC1chua-2245045526.jpg, friendlyName=查看主图</x:v>
      </x:c>
      <x:c r="O669" s="9" t="str">
        <x:v>标题及既有类目语义复核；下摆华丽感蕾丝拼接、天丝面料；原类目及标题已能确认半身裙；展示使用已知大类，未知裙长下沉到结构字段，不强猜长短。</x:v>
      </x:c>
      <x:c r="P669" s="9" t="str">
        <x:v>普通男女装</x:v>
      </x:c>
      <x:c r="Q669" s="9" t="str">
        <x:v>W_SKIRTS_AVGPAID_1300_1400_ANNUAL2026.xlsx</x:v>
      </x:c>
      <x:c r="R669" s="9" t="str">
        <x:v>默认</x:v>
      </x:c>
      <x:c r="S669" s="9" t="n">
        <x:v>56</x:v>
      </x:c>
      <x:c r="T669" s="9" t="str">
        <x:v>bd4dae1e08e9eca7ddd0669235bf59107cdc418b9c2898fc16f36a7ab5748692</x:v>
      </x:c>
      <x:c r="U669" s="9" t="str">
        <x:v>W_SKIRTS_AVGPAID_1300_1400_ANNUAL2026</x:v>
      </x:c>
      <x:c r="V669" s="9" t="str">
        <x:v>W_SKIRTS_AVGPAID_1300_1400_ANNUAL2026.xlsx / 默认 / 第56行 / SHA256 bd4dae1e08e9eca7ddd0669235bf59107cdc418b9c2898fc16f36a7ab5748692</x:v>
      </x:c>
    </x:row>
    <x:row r="670" ht="58" customHeight="1">
      <x:c r="A670" s="23" t="str">
        <x:v>912732910268</x:v>
      </x:c>
      <x:c r="B670" s="22"/>
      <x:c r="C670" s="22"/>
      <x:c r="D670" s="22"/>
      <x:c r="E670" s="9" t="str">
        <x:v>裙长未明确</x:v>
      </x:c>
      <x:c r="F670" s="9" t="str">
        <x:v>裙装</x:v>
      </x:c>
      <x:c r="G670" s="9" t="str">
        <x:v>半身裙</x:v>
      </x:c>
      <x:c r="H670" s="9" t="str">
        <x:v>女</x:v>
      </x:c>
      <x:c r="I670" s="9" t="str">
        <x:v>【商场同款】MAXRIENY新中式绣花半裙25夏a摆压褶高腰拼接蕾丝裙</x:v>
      </x:c>
      <x:c r="J670" s="9" t="str">
        <x:v>MAXRIENY</x:v>
      </x:c>
      <x:c r="K670" s="24" t="n">
        <x:v>1327.13</x:v>
      </x:c>
      <x:c r="L670" s="25" t="e">
        <x:f>HYPERLINK("https://item.taobao.com/item.htm?id=912732910268","打开商品")</x:f>
        <x:v>HYPERLINK is not implemented. linkLocation=https://item.taobao.com/item.htm?id=912732910268, friendlyName=打开商品</x:v>
      </x:c>
      <x:c r="M670" s="25" t="e">
        <x:f>HYPERLINK("https://data.zhiyitech.cn/itemDetail/overview/base?itemId=912732910268","打开知衣")</x:f>
        <x:v>HYPERLINK is not implemented. linkLocation=https://data.zhiyitech.cn/itemDetail/overview/base?itemId=912732910268, friendlyName=打开知衣</x:v>
      </x:c>
      <x:c r="N670" s="25" t="e">
        <x:f>HYPERLINK("https://img.alicdn.com/bao/uploaded/i1/2245045526/O1CN017KhM938tN9D1chua-2245045526.jpg","查看主图")</x:f>
        <x:v>HYPERLINK is not implemented. linkLocation=https://img.alicdn.com/bao/uploaded/i1/2245045526/O1CN017KhM938tN9D1chua-2245045526.jpg, friendlyName=查看主图</x:v>
      </x:c>
      <x:c r="O670" s="9" t="str">
        <x:v>标题及既有类目语义复核；【商场同款】MAXRIENY新中式绣花半裙25夏a摆压褶高腰拼接蕾丝裙；原类目及标题已能确认半身裙；展示使用已知大类，未知裙长下沉到结构字段，不强猜长短。</x:v>
      </x:c>
      <x:c r="P670" s="9" t="str">
        <x:v>普通男女装</x:v>
      </x:c>
      <x:c r="Q670" s="9" t="str">
        <x:v>W_SKIRTS_AVGPAID_1300_1400_ANNUAL2026.xlsx</x:v>
      </x:c>
      <x:c r="R670" s="9" t="str">
        <x:v>默认</x:v>
      </x:c>
      <x:c r="S670" s="9" t="n">
        <x:v>35</x:v>
      </x:c>
      <x:c r="T670" s="9" t="str">
        <x:v>bd4dae1e08e9eca7ddd0669235bf59107cdc418b9c2898fc16f36a7ab5748692</x:v>
      </x:c>
      <x:c r="U670" s="9" t="str">
        <x:v>W_SKIRTS_AVGPAID_1300_1400_ANNUAL2026</x:v>
      </x:c>
      <x:c r="V670" s="9" t="str">
        <x:v>W_SKIRTS_AVGPAID_1300_1400_ANNUAL2026.xlsx / 默认 / 第35行 / SHA256 bd4dae1e08e9eca7ddd0669235bf59107cdc418b9c2898fc16f36a7ab5748692</x:v>
      </x:c>
    </x:row>
    <x:row r="671" ht="58" customHeight="1">
      <x:c r="A671" s="23" t="str">
        <x:v>973647584926</x:v>
      </x:c>
      <x:c r="B671" s="22"/>
      <x:c r="C671" s="22"/>
      <x:c r="D671" s="22"/>
      <x:c r="E671" s="9" t="str">
        <x:v>裙长未明确</x:v>
      </x:c>
      <x:c r="F671" s="9" t="str">
        <x:v>裙装</x:v>
      </x:c>
      <x:c r="G671" s="9" t="str">
        <x:v>半身裙</x:v>
      </x:c>
      <x:c r="H671" s="9" t="str">
        <x:v>女</x:v>
      </x:c>
      <x:c r="I671" s="9" t="str">
        <x:v>【陈都灵同款】MAXRIENY层叠蓬蓬裙小A型蛋糕裙25秋款蕾丝半裙</x:v>
      </x:c>
      <x:c r="J671" s="9" t="str">
        <x:v>MAXRIENY</x:v>
      </x:c>
      <x:c r="K671" s="24" t="n">
        <x:v>1511.53</x:v>
      </x:c>
      <x:c r="L671" s="25" t="e">
        <x:f>HYPERLINK("https://item.taobao.com/item.htm?id=973647584926","打开商品")</x:f>
        <x:v>HYPERLINK is not implemented. linkLocation=https://item.taobao.com/item.htm?id=973647584926, friendlyName=打开商品</x:v>
      </x:c>
      <x:c r="M671" s="25" t="e">
        <x:f>HYPERLINK("https://data.zhiyitech.cn/itemDetail/overview/base?itemId=973647584926","打开知衣")</x:f>
        <x:v>HYPERLINK is not implemented. linkLocation=https://data.zhiyitech.cn/itemDetail/overview/base?itemId=973647584926, friendlyName=打开知衣</x:v>
      </x:c>
      <x:c r="N671" s="25" t="e">
        <x:f>HYPERLINK("https://img.alicdn.com/bao/uploaded/i1/2245045526/O1CN01trgJobf9YoI1chua-2245045526.jpg","查看主图")</x:f>
        <x:v>HYPERLINK is not implemented. linkLocation=https://img.alicdn.com/bao/uploaded/i1/2245045526/O1CN01trgJobf9YoI1chua-2245045526.jpg, friendlyName=查看主图</x:v>
      </x:c>
      <x:c r="O671" s="9" t="str">
        <x:v>标题及既有类目语义复核；【陈都灵同款】MAXRIENY层叠蓬蓬裙小A型蛋糕裙25秋款蕾丝半裙；原类目及标题已能确认半身裙；展示使用已知大类，未知裙长下沉到结构字段，不强猜长短。</x:v>
      </x:c>
      <x:c r="P671" s="9" t="str">
        <x:v>普通男女装</x:v>
      </x:c>
      <x:c r="Q671" s="9" t="str">
        <x:v>W_SKIRTS_AVGPAID_1500_1600_ANNUAL2026.xlsx</x:v>
      </x:c>
      <x:c r="R671" s="9" t="str">
        <x:v>默认</x:v>
      </x:c>
      <x:c r="S671" s="9" t="n">
        <x:v>63</x:v>
      </x:c>
      <x:c r="T671" s="9" t="str">
        <x:v>deede8b56943df4f914be45dba170f12e69064023d6ef0e88dbde1764f6ba23e</x:v>
      </x:c>
      <x:c r="U671" s="9" t="str">
        <x:v>W_SKIRTS_AVGPAID_1500_1600_ANNUAL2026</x:v>
      </x:c>
      <x:c r="V671" s="9" t="str">
        <x:v>W_SKIRTS_AVGPAID_1500_1600_ANNUAL2026.xlsx / 默认 / 第63行 / SHA256 deede8b56943df4f914be45dba170f12e69064023d6ef0e88dbde1764f6ba23e</x:v>
      </x:c>
    </x:row>
    <x:row r="672" ht="58" customHeight="1">
      <x:c r="A672" s="23" t="str">
        <x:v>981050164075</x:v>
      </x:c>
      <x:c r="B672" s="22"/>
      <x:c r="C672" s="22"/>
      <x:c r="D672" s="22"/>
      <x:c r="E672" s="9" t="str">
        <x:v>裙长未明确</x:v>
      </x:c>
      <x:c r="F672" s="9" t="str">
        <x:v>裙装</x:v>
      </x:c>
      <x:c r="G672" s="9" t="str">
        <x:v>半身裙</x:v>
      </x:c>
      <x:c r="H672" s="9" t="str">
        <x:v>女</x:v>
      </x:c>
      <x:c r="I672" s="9" t="str">
        <x:v>【商场同款】MAXRIENY法式复古蕾丝拼接伞摆半裙25冬高腰a字摆裙</x:v>
      </x:c>
      <x:c r="J672" s="9" t="str">
        <x:v>MAXRIENY</x:v>
      </x:c>
      <x:c r="K672" s="24" t="n">
        <x:v>1324.4</x:v>
      </x:c>
      <x:c r="L672" s="25" t="e">
        <x:f>HYPERLINK("https://item.taobao.com/item.htm?id=981050164075","打开商品")</x:f>
        <x:v>HYPERLINK is not implemented. linkLocation=https://item.taobao.com/item.htm?id=981050164075, friendlyName=打开商品</x:v>
      </x:c>
      <x:c r="M672" s="25" t="e">
        <x:f>HYPERLINK("https://data.zhiyitech.cn/itemDetail/overview/base?itemId=981050164075","打开知衣")</x:f>
        <x:v>HYPERLINK is not implemented. linkLocation=https://data.zhiyitech.cn/itemDetail/overview/base?itemId=981050164075, friendlyName=打开知衣</x:v>
      </x:c>
      <x:c r="N672" s="25" t="e">
        <x:f>HYPERLINK("https://img.alicdn.com/bao/uploaded/i2/2245045526/O1CN01poPJ2rTLGlI1chua-2245045526.jpg","查看主图")</x:f>
        <x:v>HYPERLINK is not implemented. linkLocation=https://img.alicdn.com/bao/uploaded/i2/2245045526/O1CN01poPJ2rTLGlI1chua-2245045526.jpg, friendlyName=查看主图</x:v>
      </x:c>
      <x:c r="O672" s="9" t="str">
        <x:v>标题及既有类目语义复核；【商场同款】MAXRIENY法式复古蕾丝拼接伞摆半裙25冬高腰a字摆裙；原类目及标题已能确认半身裙；展示使用已知大类，未知裙长下沉到结构字段，不强猜长短。</x:v>
      </x:c>
      <x:c r="P672" s="9" t="str">
        <x:v>普通男女装</x:v>
      </x:c>
      <x:c r="Q672" s="9" t="str">
        <x:v>W_SKIRTS_AVGPAID_1300_1400_ANNUAL2026.xlsx</x:v>
      </x:c>
      <x:c r="R672" s="9" t="str">
        <x:v>默认</x:v>
      </x:c>
      <x:c r="S672" s="9" t="n">
        <x:v>138</x:v>
      </x:c>
      <x:c r="T672" s="9" t="str">
        <x:v>bd4dae1e08e9eca7ddd0669235bf59107cdc418b9c2898fc16f36a7ab5748692</x:v>
      </x:c>
      <x:c r="U672" s="9" t="str">
        <x:v>W_SKIRTS_AVGPAID_1300_1400_ANNUAL2026</x:v>
      </x:c>
      <x:c r="V672" s="9" t="str">
        <x:v>W_SKIRTS_AVGPAID_1300_1400_ANNUAL2026.xlsx / 默认 / 第138行 / SHA256 bd4dae1e08e9eca7ddd0669235bf59107cdc418b9c2898fc16f36a7ab5748692</x:v>
      </x:c>
    </x:row>
    <x:row r="673" ht="58" customHeight="1">
      <x:c r="A673" s="23" t="str">
        <x:v>994387885714</x:v>
      </x:c>
      <x:c r="B673" s="22"/>
      <x:c r="C673" s="22"/>
      <x:c r="D673" s="22"/>
      <x:c r="E673" s="9" t="str">
        <x:v>裙长未明确</x:v>
      </x:c>
      <x:c r="F673" s="9" t="str">
        <x:v>裙装</x:v>
      </x:c>
      <x:c r="G673" s="9" t="str">
        <x:v>半身裙</x:v>
      </x:c>
      <x:c r="H673" s="9" t="str">
        <x:v>女</x:v>
      </x:c>
      <x:c r="I673" s="9" t="str">
        <x:v>【商场同款】MAXRIENY精致摩登复古感裙摆绣花伞型半裙25冬款</x:v>
      </x:c>
      <x:c r="J673" s="9" t="str">
        <x:v>MAXRIENY</x:v>
      </x:c>
      <x:c r="K673" s="24" t="n">
        <x:v>1345.59</x:v>
      </x:c>
      <x:c r="L673" s="25" t="e">
        <x:f>HYPERLINK("https://item.taobao.com/item.htm?id=994387885714","打开商品")</x:f>
        <x:v>HYPERLINK is not implemented. linkLocation=https://item.taobao.com/item.htm?id=994387885714, friendlyName=打开商品</x:v>
      </x:c>
      <x:c r="M673" s="25" t="e">
        <x:f>HYPERLINK("https://data.zhiyitech.cn/itemDetail/overview/base?itemId=994387885714","打开知衣")</x:f>
        <x:v>HYPERLINK is not implemented. linkLocation=https://data.zhiyitech.cn/itemDetail/overview/base?itemId=994387885714, friendlyName=打开知衣</x:v>
      </x:c>
      <x:c r="N673" s="25" t="e">
        <x:f>HYPERLINK("https://img.alicdn.com/bao/uploaded/i1/2245045526/O1CN01bT4qVgPdGZB1chua-2245045526.jpg","查看主图")</x:f>
        <x:v>HYPERLINK is not implemented. linkLocation=https://img.alicdn.com/bao/uploaded/i1/2245045526/O1CN01bT4qVgPdGZB1chua-2245045526.jpg, friendlyName=查看主图</x:v>
      </x:c>
      <x:c r="O673" s="9" t="str">
        <x:v>标题及既有类目语义复核；【商场同款】MAXRIENY精致摩登复古感裙摆绣花伞型半裙25冬款；原类目及标题已能确认半身裙；展示使用已知大类，未知裙长下沉到结构字段，不强猜长短。</x:v>
      </x:c>
      <x:c r="P673" s="9" t="str">
        <x:v>普通男女装</x:v>
      </x:c>
      <x:c r="Q673" s="9" t="str">
        <x:v>W_SKIRTS_AVGPAID_1300_1400_ANNUAL2026.xlsx</x:v>
      </x:c>
      <x:c r="R673" s="9" t="str">
        <x:v>默认</x:v>
      </x:c>
      <x:c r="S673" s="9" t="n">
        <x:v>264</x:v>
      </x:c>
      <x:c r="T673" s="9" t="str">
        <x:v>bd4dae1e08e9eca7ddd0669235bf59107cdc418b9c2898fc16f36a7ab5748692</x:v>
      </x:c>
      <x:c r="U673" s="9" t="str">
        <x:v>W_SKIRTS_AVGPAID_1300_1400_ANNUAL2026</x:v>
      </x:c>
      <x:c r="V673" s="9" t="str">
        <x:v>W_SKIRTS_AVGPAID_1300_1400_ANNUAL2026.xlsx / 默认 / 第264行 / SHA256 bd4dae1e08e9eca7ddd0669235bf59107cdc418b9c2898fc16f36a7ab5748692</x:v>
      </x:c>
    </x:row>
    <x:row r="674" ht="58" customHeight="1">
      <x:c r="A674" s="23" t="str">
        <x:v>1016634291748</x:v>
      </x:c>
      <x:c r="B674" s="22"/>
      <x:c r="C674" s="22"/>
      <x:c r="D674" s="22"/>
      <x:c r="E674" s="9" t="str">
        <x:v>裙长未明确</x:v>
      </x:c>
      <x:c r="F674" s="9" t="str">
        <x:v>裙装</x:v>
      </x:c>
      <x:c r="G674" s="9" t="str">
        <x:v>半身裙</x:v>
      </x:c>
      <x:c r="H674" s="9" t="str">
        <x:v>女</x:v>
      </x:c>
      <x:c r="I674" s="9" t="str">
        <x:v>【季末甄选】MAX&amp;Co.女装26春夏半裙乔其纱两穿花卉6101036302</x:v>
      </x:c>
      <x:c r="J674" s="9" t="str">
        <x:v>MAX＆CO．</x:v>
      </x:c>
      <x:c r="K674" s="24" t="n">
        <x:v>1775.07</x:v>
      </x:c>
      <x:c r="L674" s="25" t="e">
        <x:f>HYPERLINK("https://item.taobao.com/item.htm?id=1016634291748","打开商品")</x:f>
        <x:v>HYPERLINK is not implemented. linkLocation=https://item.taobao.com/item.htm?id=1016634291748, friendlyName=打开商品</x:v>
      </x:c>
      <x:c r="M674" s="25" t="e">
        <x:f>HYPERLINK("https://data.zhiyitech.cn/itemDetail/overview/base?itemId=1016634291748","打开知衣")</x:f>
        <x:v>HYPERLINK is not implemented. linkLocation=https://data.zhiyitech.cn/itemDetail/overview/base?itemId=1016634291748, friendlyName=打开知衣</x:v>
      </x:c>
      <x:c r="N674" s="25" t="e">
        <x:f>HYPERLINK("https://img.alicdn.com/bao/uploaded/i1/2208349878209/O1CN01a89DJ8AWVGF1chua-2208349878209.jpg","查看主图")</x:f>
        <x:v>HYPERLINK is not implemented. linkLocation=https://img.alicdn.com/bao/uploaded/i1/2208349878209/O1CN01a89DJ8AWVGF1chua-2208349878209.jpg, friendlyName=查看主图</x:v>
      </x:c>
      <x:c r="O674" s="9" t="str">
        <x:v>标题及既有类目语义复核；【季末甄选】MAX&amp;Co.女装26春夏半裙乔其纱两穿花卉6101036302；原类目及标题已能确认半身裙；展示使用已知大类，未知裙长下沉到结构字段，不强猜长短。</x:v>
      </x:c>
      <x:c r="P674" s="9" t="str">
        <x:v>普通男女装</x:v>
      </x:c>
      <x:c r="Q674" s="9" t="str">
        <x:v>W_SKIRTS_AVGPAID_1700_1800_ANNUAL2026.xlsx</x:v>
      </x:c>
      <x:c r="R674" s="9" t="str">
        <x:v>默认</x:v>
      </x:c>
      <x:c r="S674" s="9" t="n">
        <x:v>66</x:v>
      </x:c>
      <x:c r="T674" s="9" t="str">
        <x:v>c25ed77c53c7c5cfcf728778a0e9b297d8689503f62756a939cbd534ca9b587a</x:v>
      </x:c>
      <x:c r="U674" s="9" t="str">
        <x:v>W_SKIRTS_AVGPAID_1700_1800_ANNUAL2026</x:v>
      </x:c>
      <x:c r="V674" s="9" t="str">
        <x:v>W_SKIRTS_AVGPAID_1700_1800_ANNUAL2026.xlsx / 默认 / 第66行 / SHA256 c25ed77c53c7c5cfcf728778a0e9b297d8689503f62756a939cbd534ca9b587a</x:v>
      </x:c>
    </x:row>
    <x:row r="675" ht="58" customHeight="1">
      <x:c r="A675" s="23" t="str">
        <x:v>1024451925264</x:v>
      </x:c>
      <x:c r="B675" s="22"/>
      <x:c r="C675" s="22"/>
      <x:c r="D675" s="22"/>
      <x:c r="E675" s="9" t="str">
        <x:v>裙长未明确</x:v>
      </x:c>
      <x:c r="F675" s="9" t="str">
        <x:v>裙装</x:v>
      </x:c>
      <x:c r="G675" s="9" t="str">
        <x:v>半身裙</x:v>
      </x:c>
      <x:c r="H675" s="9" t="str">
        <x:v>女</x:v>
      </x:c>
      <x:c r="I675" s="9" t="str">
        <x:v>【季末甄选】MAX&amp;Co.女装26春夏牛仔半裙棉质立体感6101016302</x:v>
      </x:c>
      <x:c r="J675" s="9" t="str">
        <x:v>MAX＆CO．</x:v>
      </x:c>
      <x:c r="K675" s="24" t="n">
        <x:v>1715.71</x:v>
      </x:c>
      <x:c r="L675" s="25" t="e">
        <x:f>HYPERLINK("https://item.taobao.com/item.htm?id=1024451925264","打开商品")</x:f>
        <x:v>HYPERLINK is not implemented. linkLocation=https://item.taobao.com/item.htm?id=1024451925264, friendlyName=打开商品</x:v>
      </x:c>
      <x:c r="M675" s="25" t="e">
        <x:f>HYPERLINK("https://data.zhiyitech.cn/itemDetail/overview/base?itemId=1024451925264","打开知衣")</x:f>
        <x:v>HYPERLINK is not implemented. linkLocation=https://data.zhiyitech.cn/itemDetail/overview/base?itemId=1024451925264, friendlyName=打开知衣</x:v>
      </x:c>
      <x:c r="N675" s="25" t="e">
        <x:f>HYPERLINK("https://img.alicdn.com/bao/uploaded/i2/2208349878209/O1CN01YM9jHvBxVhE1chua-2208349878209.jpg","查看主图")</x:f>
        <x:v>HYPERLINK is not implemented. linkLocation=https://img.alicdn.com/bao/uploaded/i2/2208349878209/O1CN01YM9jHvBxVhE1chua-2208349878209.jpg, friendlyName=查看主图</x:v>
      </x:c>
      <x:c r="O675" s="9" t="str">
        <x:v>标题及既有类目语义复核；【季末甄选】MAX&amp;Co.女装26春夏牛仔半裙棉质立体感6101016302；原类目及标题已能确认半身裙；展示使用已知大类，未知裙长下沉到结构字段，不强猜长短。</x:v>
      </x:c>
      <x:c r="P675" s="9" t="str">
        <x:v>普通男女装</x:v>
      </x:c>
      <x:c r="Q675" s="9" t="str">
        <x:v>W_SKIRTS_AVGPAID_1700_1800_ANNUAL2026.xlsx</x:v>
      </x:c>
      <x:c r="R675" s="9" t="str">
        <x:v>默认</x:v>
      </x:c>
      <x:c r="S675" s="9" t="n">
        <x:v>305</x:v>
      </x:c>
      <x:c r="T675" s="9" t="str">
        <x:v>c25ed77c53c7c5cfcf728778a0e9b297d8689503f62756a939cbd534ca9b587a</x:v>
      </x:c>
      <x:c r="U675" s="9" t="str">
        <x:v>W_SKIRTS_AVGPAID_1700_1800_ANNUAL2026</x:v>
      </x:c>
      <x:c r="V675" s="9" t="str">
        <x:v>W_SKIRTS_AVGPAID_1700_1800_ANNUAL2026.xlsx / 默认 / 第305行 / SHA256 c25ed77c53c7c5cfcf728778a0e9b297d8689503f62756a939cbd534ca9b587a</x:v>
      </x:c>
    </x:row>
    <x:row r="676" ht="58" customHeight="1">
      <x:c r="A676" s="23" t="str">
        <x:v>1028708835592</x:v>
      </x:c>
      <x:c r="B676" s="22"/>
      <x:c r="C676" s="22"/>
      <x:c r="D676" s="22"/>
      <x:c r="E676" s="9" t="str">
        <x:v>裙长未明确</x:v>
      </x:c>
      <x:c r="F676" s="9" t="str">
        <x:v>裙装</x:v>
      </x:c>
      <x:c r="G676" s="9" t="str">
        <x:v>半身裙</x:v>
      </x:c>
      <x:c r="H676" s="9" t="str">
        <x:v>女</x:v>
      </x:c>
      <x:c r="I676" s="9" t="str">
        <x:v>【丹霓强推显瘦竖条纹轻透显瘦气质高级优雅女人】Bu退换MINE半身裙</x:v>
      </x:c>
      <x:c r="J676" s="9" t="str">
        <x:v>MINE</x:v>
      </x:c>
      <x:c r="K676" s="24" t="n">
        <x:v>1363.32</x:v>
      </x:c>
      <x:c r="L676" s="25" t="e">
        <x:f>HYPERLINK("https://item.taobao.com/item.htm?id=1028708835592","打开商品")</x:f>
        <x:v>HYPERLINK is not implemented. linkLocation=https://item.taobao.com/item.htm?id=1028708835592, friendlyName=打开商品</x:v>
      </x:c>
      <x:c r="M676" s="25" t="e">
        <x:f>HYPERLINK("https://data.zhiyitech.cn/itemDetail/overview/base?itemId=1028708835592","打开知衣")</x:f>
        <x:v>HYPERLINK is not implemented. linkLocation=https://data.zhiyitech.cn/itemDetail/overview/base?itemId=1028708835592, friendlyName=打开知衣</x:v>
      </x:c>
      <x:c r="N676" s="25" t="e">
        <x:f>HYPERLINK("https://img.alicdn.com/bao/uploaded/i3/2941336433/O1CN01jHlvfC1xON16e1rVL~crop,114,0,1080,1440~_!!2941336433.jpg","查看主图")</x:f>
        <x:v>HYPERLINK is not implemented. linkLocation=https://img.alicdn.com/bao/uploaded/i3/2941336433/O1CN01jHlvfC1xON16e1rVL~crop,114,0,1080,1440~_!!2941336433.jpg, friendlyName=查看主图</x:v>
      </x:c>
      <x:c r="O676" s="9" t="str">
        <x:v>标题及既有类目语义复核；【丹霓强推显瘦竖条纹轻透显瘦气质高级优雅女人】Bu退换MINE半身裙；原类目及标题已能确认半身裙；展示使用已知大类，未知裙长下沉到结构字段，不强猜长短。</x:v>
      </x:c>
      <x:c r="P676" s="9" t="str">
        <x:v>普通男女装</x:v>
      </x:c>
      <x:c r="Q676" s="9" t="str">
        <x:v>W_SKIRTS_AVGPAID_1300_1400_ANNUAL2026.xlsx</x:v>
      </x:c>
      <x:c r="R676" s="9" t="str">
        <x:v>默认</x:v>
      </x:c>
      <x:c r="S676" s="9" t="n">
        <x:v>499</x:v>
      </x:c>
      <x:c r="T676" s="9" t="str">
        <x:v>bd4dae1e08e9eca7ddd0669235bf59107cdc418b9c2898fc16f36a7ab5748692</x:v>
      </x:c>
      <x:c r="U676" s="9" t="str">
        <x:v>W_SKIRTS_AVGPAID_1300_1400_ANNUAL2026</x:v>
      </x:c>
      <x:c r="V676" s="9" t="str">
        <x:v>W_SKIRTS_AVGPAID_1300_1400_ANNUAL2026.xlsx / 默认 / 第499行 / SHA256 bd4dae1e08e9eca7ddd0669235bf59107cdc418b9c2898fc16f36a7ab5748692</x:v>
      </x:c>
    </x:row>
    <x:row r="677" ht="58" customHeight="1">
      <x:c r="A677" s="23" t="str">
        <x:v>1059608265206</x:v>
      </x:c>
      <x:c r="B677" s="22"/>
      <x:c r="C677" s="22"/>
      <x:c r="D677" s="22"/>
      <x:c r="E677" s="9" t="str">
        <x:v>裙长未明确</x:v>
      </x:c>
      <x:c r="F677" s="9" t="str">
        <x:v>裙装</x:v>
      </x:c>
      <x:c r="G677" s="9" t="str">
        <x:v>半身裙</x:v>
      </x:c>
      <x:c r="H677" s="9" t="str">
        <x:v>女</x:v>
      </x:c>
      <x:c r="I677" s="9" t="str">
        <x:v>【七七酱专享】MISSCOCOON可可尼白网纱蛋糕裙女荷叶边亮片半身裙</x:v>
      </x:c>
      <x:c r="J677" s="9" t="str">
        <x:v>MISS COCOON</x:v>
      </x:c>
      <x:c r="K677" s="24" t="n">
        <x:v>1397.55</x:v>
      </x:c>
      <x:c r="L677" s="25" t="e">
        <x:f>HYPERLINK("https://item.taobao.com/item.htm?id=1059608265206","打开商品")</x:f>
        <x:v>HYPERLINK is not implemented. linkLocation=https://item.taobao.com/item.htm?id=1059608265206, friendlyName=打开商品</x:v>
      </x:c>
      <x:c r="M677" s="25" t="e">
        <x:f>HYPERLINK("https://data.zhiyitech.cn/itemDetail/overview/base?itemId=1059608265206","打开知衣")</x:f>
        <x:v>HYPERLINK is not implemented. linkLocation=https://data.zhiyitech.cn/itemDetail/overview/base?itemId=1059608265206, friendlyName=打开知衣</x:v>
      </x:c>
      <x:c r="N677" s="25" t="e">
        <x:f>HYPERLINK("https://img.alicdn.com/bao/uploaded/i2/468333872/O1CN014iUgr61eTQiLT2vJX_!!4611686018427385136-0-item_pic.jpg","查看主图")</x:f>
        <x:v>HYPERLINK is not implemented. linkLocation=https://img.alicdn.com/bao/uploaded/i2/468333872/O1CN014iUgr61eTQiLT2vJX_!!4611686018427385136-0-item_pic.jpg, friendlyName=查看主图</x:v>
      </x:c>
      <x:c r="O677" s="9" t="str">
        <x:v>标题及既有类目语义复核；【七七酱专享】MISSCOCOON可可尼白网纱蛋糕裙女荷叶边亮片半身裙；原类目及标题已能确认半身裙；展示使用已知大类，未知裙长下沉到结构字段，不强猜长短。</x:v>
      </x:c>
      <x:c r="P677" s="9" t="str">
        <x:v>普通男女装</x:v>
      </x:c>
      <x:c r="Q677" s="9" t="str">
        <x:v>W_SKIRTS_AVGPAID_1300_1400_ANNUAL2026.xlsx</x:v>
      </x:c>
      <x:c r="R677" s="9" t="str">
        <x:v>默认</x:v>
      </x:c>
      <x:c r="S677" s="9" t="n">
        <x:v>340</x:v>
      </x:c>
      <x:c r="T677" s="9" t="str">
        <x:v>bd4dae1e08e9eca7ddd0669235bf59107cdc418b9c2898fc16f36a7ab5748692</x:v>
      </x:c>
      <x:c r="U677" s="9" t="str">
        <x:v>W_SKIRTS_AVGPAID_1300_1400_ANNUAL2026</x:v>
      </x:c>
      <x:c r="V677" s="9" t="str">
        <x:v>W_SKIRTS_AVGPAID_1300_1400_ANNUAL2026.xlsx / 默认 / 第340行 / SHA256 bd4dae1e08e9eca7ddd0669235bf59107cdc418b9c2898fc16f36a7ab5748692</x:v>
      </x:c>
    </x:row>
    <x:row r="678" ht="58" customHeight="1">
      <x:c r="A678" s="23" t="str">
        <x:v>1079409327461</x:v>
      </x:c>
      <x:c r="B678" s="22"/>
      <x:c r="C678" s="22"/>
      <x:c r="D678" s="22"/>
      <x:c r="E678" s="9" t="str">
        <x:v>裙长未明确</x:v>
      </x:c>
      <x:c r="F678" s="9" t="str">
        <x:v>裙装</x:v>
      </x:c>
      <x:c r="G678" s="9" t="str">
        <x:v>半身裙</x:v>
      </x:c>
      <x:c r="H678" s="9" t="str">
        <x:v>女</x:v>
      </x:c>
      <x:c r="I678" s="9" t="str">
        <x:v>MISSCOCOON可可尼白色刺绣亮片蛋糕裙女26冬季新款浪漫蕾丝半身裙</x:v>
      </x:c>
      <x:c r="J678" s="9" t="str">
        <x:v>MISS COCOON</x:v>
      </x:c>
      <x:c r="K678" s="24" t="n">
        <x:v>1327.09</x:v>
      </x:c>
      <x:c r="L678" s="25" t="e">
        <x:f>HYPERLINK("https://item.taobao.com/item.htm?id=1079409327461","打开商品")</x:f>
        <x:v>HYPERLINK is not implemented. linkLocation=https://item.taobao.com/item.htm?id=1079409327461, friendlyName=打开商品</x:v>
      </x:c>
      <x:c r="M678" s="25" t="e">
        <x:f>HYPERLINK("https://data.zhiyitech.cn/itemDetail/overview/base?itemId=1079409327461","打开知衣")</x:f>
        <x:v>HYPERLINK is not implemented. linkLocation=https://data.zhiyitech.cn/itemDetail/overview/base?itemId=1079409327461, friendlyName=打开知衣</x:v>
      </x:c>
      <x:c r="N678" s="25" t="e">
        <x:f>HYPERLINK("https://img.alicdn.com/bao/uploaded/i4/468333872/O1CN01WzFO6Mb5lFI2vH2e_!!468333872.jpg","查看主图")</x:f>
        <x:v>HYPERLINK is not implemented. linkLocation=https://img.alicdn.com/bao/uploaded/i4/468333872/O1CN01WzFO6Mb5lFI2vH2e_!!468333872.jpg, friendlyName=查看主图</x:v>
      </x:c>
      <x:c r="O678" s="9" t="str">
        <x:v>标题及既有类目语义复核；MISSCOCOON可可尼白色刺绣亮片蛋糕裙女26冬季新款浪漫蕾丝半身裙；原类目及标题已能确认半身裙；展示使用已知大类，未知裙长下沉到结构字段，不强猜长短。</x:v>
      </x:c>
      <x:c r="P678" s="9" t="str">
        <x:v>普通男女装</x:v>
      </x:c>
      <x:c r="Q678" s="9" t="str">
        <x:v>W_SKIRTS_AVGPAID_1300_1400_ANNUAL2026.xlsx</x:v>
      </x:c>
      <x:c r="R678" s="9" t="str">
        <x:v>默认</x:v>
      </x:c>
      <x:c r="S678" s="9" t="n">
        <x:v>376</x:v>
      </x:c>
      <x:c r="T678" s="9" t="str">
        <x:v>bd4dae1e08e9eca7ddd0669235bf59107cdc418b9c2898fc16f36a7ab5748692</x:v>
      </x:c>
      <x:c r="U678" s="9" t="str">
        <x:v>W_SKIRTS_AVGPAID_1300_1400_ANNUAL2026</x:v>
      </x:c>
      <x:c r="V678" s="9" t="str">
        <x:v>W_SKIRTS_AVGPAID_1300_1400_ANNUAL2026.xlsx / 默认 / 第376行 / SHA256 bd4dae1e08e9eca7ddd0669235bf59107cdc418b9c2898fc16f36a7ab5748692</x:v>
      </x:c>
    </x:row>
    <x:row r="679" ht="58" customHeight="1">
      <x:c r="A679" s="23" t="str">
        <x:v>1009249128234</x:v>
      </x:c>
      <x:c r="B679" s="22"/>
      <x:c r="C679" s="22"/>
      <x:c r="D679" s="22"/>
      <x:c r="E679" s="9" t="str">
        <x:v>裙长未明确</x:v>
      </x:c>
      <x:c r="F679" s="9" t="str">
        <x:v>裙装</x:v>
      </x:c>
      <x:c r="G679" s="9" t="str">
        <x:v>半身裙</x:v>
      </x:c>
      <x:c r="H679" s="9" t="str">
        <x:v>女</x:v>
      </x:c>
      <x:c r="I679" s="9" t="str">
        <x:v>【杨幂同款】Miss Sixty2026春季新款牛仔半裙女多纽扣褶边小开衩</x:v>
      </x:c>
      <x:c r="J679" s="9" t="str">
        <x:v>MISS SIXTY</x:v>
      </x:c>
      <x:c r="K679" s="24" t="n">
        <x:v>1559.64</x:v>
      </x:c>
      <x:c r="L679" s="25" t="e">
        <x:f>HYPERLINK("https://item.taobao.com/item.htm?id=1009249128234","打开商品")</x:f>
        <x:v>HYPERLINK is not implemented. linkLocation=https://item.taobao.com/item.htm?id=1009249128234, friendlyName=打开商品</x:v>
      </x:c>
      <x:c r="M679" s="25" t="e">
        <x:f>HYPERLINK("https://data.zhiyitech.cn/itemDetail/overview/base?itemId=1009249128234","打开知衣")</x:f>
        <x:v>HYPERLINK is not implemented. linkLocation=https://data.zhiyitech.cn/itemDetail/overview/base?itemId=1009249128234, friendlyName=打开知衣</x:v>
      </x:c>
      <x:c r="N679" s="25" t="e">
        <x:f>HYPERLINK("https://img.alicdn.com/bao/uploaded/i4/2880132427/O1CN01O1CoY5jxDXG1chua-2880132427.jpg","查看主图")</x:f>
        <x:v>HYPERLINK is not implemented. linkLocation=https://img.alicdn.com/bao/uploaded/i4/2880132427/O1CN01O1CoY5jxDXG1chua-2880132427.jpg, friendlyName=查看主图</x:v>
      </x:c>
      <x:c r="O679" s="9" t="str">
        <x:v>标题及既有类目语义复核；【杨幂同款】Miss Sixty2026春季新款牛仔半裙女多纽扣褶边小开衩；原类目及标题已能确认半身裙；展示使用已知大类，未知裙长下沉到结构字段，不强猜长短。</x:v>
      </x:c>
      <x:c r="P679" s="9" t="str">
        <x:v>普通男女装</x:v>
      </x:c>
      <x:c r="Q679" s="9" t="str">
        <x:v>W_SKIRTS_AVGPAID_1500_1600_ANNUAL2026.xlsx</x:v>
      </x:c>
      <x:c r="R679" s="9" t="str">
        <x:v>默认</x:v>
      </x:c>
      <x:c r="S679" s="9" t="n">
        <x:v>80</x:v>
      </x:c>
      <x:c r="T679" s="9" t="str">
        <x:v>deede8b56943df4f914be45dba170f12e69064023d6ef0e88dbde1764f6ba23e</x:v>
      </x:c>
      <x:c r="U679" s="9" t="str">
        <x:v>W_SKIRTS_AVGPAID_1500_1600_ANNUAL2026</x:v>
      </x:c>
      <x:c r="V679" s="9" t="str">
        <x:v>W_SKIRTS_AVGPAID_1500_1600_ANNUAL2026.xlsx / 默认 / 第80行 / SHA256 deede8b56943df4f914be45dba170f12e69064023d6ef0e88dbde1764f6ba23e</x:v>
      </x:c>
    </x:row>
    <x:row r="680" ht="58" customHeight="1">
      <x:c r="A680" s="23" t="str">
        <x:v>969607450273</x:v>
      </x:c>
      <x:c r="B680" s="22"/>
      <x:c r="C680" s="22"/>
      <x:c r="D680" s="22"/>
      <x:c r="E680" s="9" t="str">
        <x:v>裙长未明确</x:v>
      </x:c>
      <x:c r="F680" s="9" t="str">
        <x:v>裙装</x:v>
      </x:c>
      <x:c r="G680" s="9" t="str">
        <x:v>半身裙</x:v>
      </x:c>
      <x:c r="H680" s="9" t="str">
        <x:v>女</x:v>
      </x:c>
      <x:c r="I680" s="9" t="str">
        <x:v>Miss Sixty2026春夏牛仔中裙女多耳仔复古洗水磨破鱼尾半身裙</x:v>
      </x:c>
      <x:c r="J680" s="9" t="str">
        <x:v>MISS SIXTY</x:v>
      </x:c>
      <x:c r="K680" s="24" t="n">
        <x:v>1507.37</x:v>
      </x:c>
      <x:c r="L680" s="25" t="e">
        <x:f>HYPERLINK("https://item.taobao.com/item.htm?id=969607450273","打开商品")</x:f>
        <x:v>HYPERLINK is not implemented. linkLocation=https://item.taobao.com/item.htm?id=969607450273, friendlyName=打开商品</x:v>
      </x:c>
      <x:c r="M680" s="25" t="e">
        <x:f>HYPERLINK("https://data.zhiyitech.cn/itemDetail/overview/base?itemId=969607450273","打开知衣")</x:f>
        <x:v>HYPERLINK is not implemented. linkLocation=https://data.zhiyitech.cn/itemDetail/overview/base?itemId=969607450273, friendlyName=打开知衣</x:v>
      </x:c>
      <x:c r="N680" s="25" t="e">
        <x:f>HYPERLINK("https://img.alicdn.com/bao/uploaded/i4/2880132427/O1CN01l20E0fcEHbE1chua-2880132427.jpg","查看主图")</x:f>
        <x:v>HYPERLINK is not implemented. linkLocation=https://img.alicdn.com/bao/uploaded/i4/2880132427/O1CN01l20E0fcEHbE1chua-2880132427.jpg, friendlyName=查看主图</x:v>
      </x:c>
      <x:c r="O680" s="9" t="str">
        <x:v>标题及既有类目语义复核；Miss Sixty2026春夏牛仔中裙女多耳仔复古洗水磨破鱼尾半身裙；原类目及标题已能确认半身裙；展示使用已知大类，未知裙长下沉到结构字段，不强猜长短。</x:v>
      </x:c>
      <x:c r="P680" s="9" t="str">
        <x:v>普通男女装</x:v>
      </x:c>
      <x:c r="Q680" s="9" t="str">
        <x:v>W_SKIRTS_AVGPAID_1500_1600_ANNUAL2026.xlsx</x:v>
      </x:c>
      <x:c r="R680" s="9" t="str">
        <x:v>默认</x:v>
      </x:c>
      <x:c r="S680" s="9" t="n">
        <x:v>74</x:v>
      </x:c>
      <x:c r="T680" s="9" t="str">
        <x:v>deede8b56943df4f914be45dba170f12e69064023d6ef0e88dbde1764f6ba23e</x:v>
      </x:c>
      <x:c r="U680" s="9" t="str">
        <x:v>W_SKIRTS_AVGPAID_1500_1600_ANNUAL2026</x:v>
      </x:c>
      <x:c r="V680" s="9" t="str">
        <x:v>W_SKIRTS_AVGPAID_1500_1600_ANNUAL2026.xlsx / 默认 / 第74行 / SHA256 deede8b56943df4f914be45dba170f12e69064023d6ef0e88dbde1764f6ba23e</x:v>
      </x:c>
    </x:row>
    <x:row r="681" ht="58" customHeight="1">
      <x:c r="A681" s="23" t="str">
        <x:v>977678833442</x:v>
      </x:c>
      <x:c r="B681" s="22"/>
      <x:c r="C681" s="22"/>
      <x:c r="D681" s="22"/>
      <x:c r="E681" s="9" t="str">
        <x:v>裙长未明确</x:v>
      </x:c>
      <x:c r="F681" s="9" t="str">
        <x:v>裙装</x:v>
      </x:c>
      <x:c r="G681" s="9" t="str">
        <x:v>半身裙</x:v>
      </x:c>
      <x:c r="H681" s="9" t="str">
        <x:v>女</x:v>
      </x:c>
      <x:c r="I681" s="9" t="str">
        <x:v>【杨幂同款】赠挂饰Miss Sixty2026冬季牛仔中裙女复古拼接半身裙</x:v>
      </x:c>
      <x:c r="J681" s="9" t="str">
        <x:v>MISS SIXTY</x:v>
      </x:c>
      <x:c r="K681" s="24" t="n">
        <x:v>1349.25</x:v>
      </x:c>
      <x:c r="L681" s="25" t="e">
        <x:f>HYPERLINK("https://item.taobao.com/item.htm?id=977678833442","打开商品")</x:f>
        <x:v>HYPERLINK is not implemented. linkLocation=https://item.taobao.com/item.htm?id=977678833442, friendlyName=打开商品</x:v>
      </x:c>
      <x:c r="M681" s="25" t="e">
        <x:f>HYPERLINK("https://data.zhiyitech.cn/itemDetail/overview/base?itemId=977678833442","打开知衣")</x:f>
        <x:v>HYPERLINK is not implemented. linkLocation=https://data.zhiyitech.cn/itemDetail/overview/base?itemId=977678833442, friendlyName=打开知衣</x:v>
      </x:c>
      <x:c r="N681" s="25" t="e">
        <x:f>HYPERLINK("https://img.alicdn.com/bao/uploaded/i1/2880132427/O1CN01UZJjPBmk3XH1chua-2880132427.jpg","查看主图")</x:f>
        <x:v>HYPERLINK is not implemented. linkLocation=https://img.alicdn.com/bao/uploaded/i1/2880132427/O1CN01UZJjPBmk3XH1chua-2880132427.jpg, friendlyName=查看主图</x:v>
      </x:c>
      <x:c r="O681" s="9" t="str">
        <x:v>标题及既有类目语义复核；【杨幂同款】赠挂饰Miss Sixty2026冬季牛仔中裙女复古拼接半身裙；原类目及标题已能确认半身裙；展示使用已知大类，未知裙长下沉到结构字段，不强猜长短。</x:v>
      </x:c>
      <x:c r="P681" s="9" t="str">
        <x:v>普通男女装</x:v>
      </x:c>
      <x:c r="Q681" s="9" t="str">
        <x:v>W_SKIRTS_AVGPAID_1300_1400_ANNUAL2026.xlsx</x:v>
      </x:c>
      <x:c r="R681" s="9" t="str">
        <x:v>默认</x:v>
      </x:c>
      <x:c r="S681" s="9" t="n">
        <x:v>284</x:v>
      </x:c>
      <x:c r="T681" s="9" t="str">
        <x:v>bd4dae1e08e9eca7ddd0669235bf59107cdc418b9c2898fc16f36a7ab5748692</x:v>
      </x:c>
      <x:c r="U681" s="9" t="str">
        <x:v>W_SKIRTS_AVGPAID_1300_1400_ANNUAL2026</x:v>
      </x:c>
      <x:c r="V681" s="9" t="str">
        <x:v>W_SKIRTS_AVGPAID_1300_1400_ANNUAL2026.xlsx / 默认 / 第284行 / SHA256 bd4dae1e08e9eca7ddd0669235bf59107cdc418b9c2898fc16f36a7ab5748692</x:v>
      </x:c>
    </x:row>
    <x:row r="682" ht="58" customHeight="1">
      <x:c r="A682" s="23" t="str">
        <x:v>1049464422354</x:v>
      </x:c>
      <x:c r="B682" s="22"/>
      <x:c r="C682" s="22"/>
      <x:c r="D682" s="22"/>
      <x:c r="E682" s="9" t="str">
        <x:v>裙长未明确</x:v>
      </x:c>
      <x:c r="F682" s="9" t="str">
        <x:v>裙装</x:v>
      </x:c>
      <x:c r="G682" s="9" t="str">
        <x:v>半身裙</x:v>
      </x:c>
      <x:c r="H682" s="9" t="str">
        <x:v>女</x:v>
      </x:c>
      <x:c r="I682" s="9" t="str">
        <x:v>【丹霓自留醋酸蕾丝拼接松紧腰遮胯显瘦优雅静奢女人】MOE半身裙</x:v>
      </x:c>
      <x:c r="J682" s="9" t="str">
        <x:v>MOE</x:v>
      </x:c>
      <x:c r="K682" s="24" t="n">
        <x:v>1758.07</x:v>
      </x:c>
      <x:c r="L682" s="25" t="e">
        <x:f>HYPERLINK("https://item.taobao.com/item.htm?id=1049464422354","打开商品")</x:f>
        <x:v>HYPERLINK is not implemented. linkLocation=https://item.taobao.com/item.htm?id=1049464422354, friendlyName=打开商品</x:v>
      </x:c>
      <x:c r="M682" s="25" t="e">
        <x:f>HYPERLINK("https://data.zhiyitech.cn/itemDetail/overview/base?itemId=1049464422354","打开知衣")</x:f>
        <x:v>HYPERLINK is not implemented. linkLocation=https://data.zhiyitech.cn/itemDetail/overview/base?itemId=1049464422354, friendlyName=打开知衣</x:v>
      </x:c>
      <x:c r="N682" s="25" t="e">
        <x:f>HYPERLINK("https://img.alicdn.com/bao/uploaded/i2/2941336433/O1CN01b2mhHv1xON1zZnyoO_!!2941336433.png","查看主图")</x:f>
        <x:v>HYPERLINK is not implemented. linkLocation=https://img.alicdn.com/bao/uploaded/i2/2941336433/O1CN01b2mhHv1xON1zZnyoO_!!2941336433.png, friendlyName=查看主图</x:v>
      </x:c>
      <x:c r="O682" s="9" t="str">
        <x:v>标题及既有类目语义复核；【丹霓自留醋酸蕾丝拼接松紧腰遮胯显瘦优雅静奢女人】MOE半身裙；原类目及标题已能确认半身裙；展示使用已知大类，未知裙长下沉到结构字段，不强猜长短。</x:v>
      </x:c>
      <x:c r="P682" s="9" t="str">
        <x:v>普通男女装</x:v>
      </x:c>
      <x:c r="Q682" s="9" t="str">
        <x:v>W_SKIRTS_AVGPAID_1700_1800_ANNUAL2026.xlsx</x:v>
      </x:c>
      <x:c r="R682" s="9" t="str">
        <x:v>默认</x:v>
      </x:c>
      <x:c r="S682" s="9" t="n">
        <x:v>254</x:v>
      </x:c>
      <x:c r="T682" s="9" t="str">
        <x:v>c25ed77c53c7c5cfcf728778a0e9b297d8689503f62756a939cbd534ca9b587a</x:v>
      </x:c>
      <x:c r="U682" s="9" t="str">
        <x:v>W_SKIRTS_AVGPAID_1700_1800_ANNUAL2026</x:v>
      </x:c>
      <x:c r="V682" s="9" t="str">
        <x:v>W_SKIRTS_AVGPAID_1700_1800_ANNUAL2026.xlsx / 默认 / 第254行 / SHA256 c25ed77c53c7c5cfcf728778a0e9b297d8689503f62756a939cbd534ca9b587a</x:v>
      </x:c>
    </x:row>
    <x:row r="683" ht="58" customHeight="1">
      <x:c r="A683" s="23" t="str">
        <x:v>913838459143</x:v>
      </x:c>
      <x:c r="B683" s="22"/>
      <x:c r="C683" s="22"/>
      <x:c r="D683" s="22"/>
      <x:c r="E683" s="9" t="str">
        <x:v>裙长未明确</x:v>
      </x:c>
      <x:c r="F683" s="9" t="str">
        <x:v>裙装</x:v>
      </x:c>
      <x:c r="G683" s="9" t="str">
        <x:v>半身裙</x:v>
      </x:c>
      <x:c r="H683" s="9" t="str">
        <x:v>女</x:v>
      </x:c>
      <x:c r="I683" s="9" t="str">
        <x:v>摩萨克米白塔克褶半裙</x:v>
      </x:c>
      <x:c r="J683" s="9" t="str">
        <x:v>MOISSAC</x:v>
      </x:c>
      <x:c r="K683" s="24" t="n">
        <x:v>1356.57</x:v>
      </x:c>
      <x:c r="L683" s="25" t="e">
        <x:f>HYPERLINK("https://item.taobao.com/item.htm?id=913838459143","打开商品")</x:f>
        <x:v>HYPERLINK is not implemented. linkLocation=https://item.taobao.com/item.htm?id=913838459143, friendlyName=打开商品</x:v>
      </x:c>
      <x:c r="M683" s="25" t="e">
        <x:f>HYPERLINK("https://data.zhiyitech.cn/itemDetail/overview/base?itemId=913838459143","打开知衣")</x:f>
        <x:v>HYPERLINK is not implemented. linkLocation=https://data.zhiyitech.cn/itemDetail/overview/base?itemId=913838459143, friendlyName=打开知衣</x:v>
      </x:c>
      <x:c r="N683" s="25" t="e">
        <x:f>HYPERLINK("https://img.alicdn.com/bao/uploaded/i1/2207367810469/O1CN01mI4GfqegaFH1chua_!!2207367810469.jpg","查看主图")</x:f>
        <x:v>HYPERLINK is not implemented. linkLocation=https://img.alicdn.com/bao/uploaded/i1/2207367810469/O1CN01mI4GfqegaFH1chua_!!2207367810469.jpg, friendlyName=查看主图</x:v>
      </x:c>
      <x:c r="O683" s="9" t="str">
        <x:v>标题及既有类目语义复核；摩萨克米白塔克褶半裙；原类目及标题已能确认半身裙；展示使用已知大类，未知裙长下沉到结构字段，不强猜长短。</x:v>
      </x:c>
      <x:c r="P683" s="9" t="str">
        <x:v>普通男女装</x:v>
      </x:c>
      <x:c r="Q683" s="9" t="str">
        <x:v>W_SKIRTS_AVGPAID_1300_1400_ANNUAL2026.xlsx</x:v>
      </x:c>
      <x:c r="R683" s="9" t="str">
        <x:v>默认</x:v>
      </x:c>
      <x:c r="S683" s="9" t="n">
        <x:v>324</x:v>
      </x:c>
      <x:c r="T683" s="9" t="str">
        <x:v>bd4dae1e08e9eca7ddd0669235bf59107cdc418b9c2898fc16f36a7ab5748692</x:v>
      </x:c>
      <x:c r="U683" s="9" t="str">
        <x:v>W_SKIRTS_AVGPAID_1300_1400_ANNUAL2026</x:v>
      </x:c>
      <x:c r="V683" s="9" t="str">
        <x:v>W_SKIRTS_AVGPAID_1300_1400_ANNUAL2026.xlsx / 默认 / 第324行 / SHA256 bd4dae1e08e9eca7ddd0669235bf59107cdc418b9c2898fc16f36a7ab5748692</x:v>
      </x:c>
    </x:row>
    <x:row r="684" ht="58" customHeight="1">
      <x:c r="A684" s="23" t="str">
        <x:v>1070268218680</x:v>
      </x:c>
      <x:c r="B684" s="22"/>
      <x:c r="C684" s="22"/>
      <x:c r="D684" s="22"/>
      <x:c r="E684" s="9" t="str">
        <x:v>裙长未明确</x:v>
      </x:c>
      <x:c r="F684" s="9" t="str">
        <x:v>裙装</x:v>
      </x:c>
      <x:c r="G684" s="9" t="str">
        <x:v>半身裙</x:v>
      </x:c>
      <x:c r="H684" s="9" t="str">
        <x:v>女</x:v>
      </x:c>
      <x:c r="I684" s="9" t="str">
        <x:v>【舒心】朗姿/MOJO AVENUE莫佐法式优雅浪漫半身裙女黑色</x:v>
      </x:c>
      <x:c r="J684" s="9" t="str">
        <x:v>MOJO AVENUE</x:v>
      </x:c>
      <x:c r="K684" s="24" t="n">
        <x:v>1370.74</x:v>
      </x:c>
      <x:c r="L684" s="25" t="e">
        <x:f>HYPERLINK("https://item.taobao.com/item.htm?id=1070268218680","打开商品")</x:f>
        <x:v>HYPERLINK is not implemented. linkLocation=https://item.taobao.com/item.htm?id=1070268218680, friendlyName=打开商品</x:v>
      </x:c>
      <x:c r="M684" s="25" t="e">
        <x:f>HYPERLINK("https://data.zhiyitech.cn/itemDetail/overview/base?itemId=1070268218680","打开知衣")</x:f>
        <x:v>HYPERLINK is not implemented. linkLocation=https://data.zhiyitech.cn/itemDetail/overview/base?itemId=1070268218680, friendlyName=打开知衣</x:v>
      </x:c>
      <x:c r="N684" s="25" t="e">
        <x:f>HYPERLINK("https://img.alicdn.com/bao/uploaded/i4/2214073359695/O1CN01FlDyCO2LUMwiFpasA_!!4611686018427387215-0-item_pic.jpg","查看主图")</x:f>
        <x:v>HYPERLINK is not implemented. linkLocation=https://img.alicdn.com/bao/uploaded/i4/2214073359695/O1CN01FlDyCO2LUMwiFpasA_!!4611686018427387215-0-item_pic.jpg, friendlyName=查看主图</x:v>
      </x:c>
      <x:c r="O684" s="9" t="str">
        <x:v>标题及既有类目语义复核；【舒心】朗姿/MOJO AVENUE莫佐法式优雅浪漫半身裙女黑色；原类目及标题已能确认半身裙；展示使用已知大类，未知裙长下沉到结构字段，不强猜长短。</x:v>
      </x:c>
      <x:c r="P684" s="9" t="str">
        <x:v>普通男女装</x:v>
      </x:c>
      <x:c r="Q684" s="9" t="str">
        <x:v>W_SKIRTS_AVGPAID_1300_1400_ANNUAL2026.xlsx</x:v>
      </x:c>
      <x:c r="R684" s="9" t="str">
        <x:v>默认</x:v>
      </x:c>
      <x:c r="S684" s="9" t="n">
        <x:v>411</x:v>
      </x:c>
      <x:c r="T684" s="9" t="str">
        <x:v>bd4dae1e08e9eca7ddd0669235bf59107cdc418b9c2898fc16f36a7ab5748692</x:v>
      </x:c>
      <x:c r="U684" s="9" t="str">
        <x:v>W_SKIRTS_AVGPAID_1300_1400_ANNUAL2026</x:v>
      </x:c>
      <x:c r="V684" s="9" t="str">
        <x:v>W_SKIRTS_AVGPAID_1300_1400_ANNUAL2026.xlsx / 默认 / 第411行 / SHA256 bd4dae1e08e9eca7ddd0669235bf59107cdc418b9c2898fc16f36a7ab5748692</x:v>
      </x:c>
    </x:row>
    <x:row r="685" ht="58" customHeight="1">
      <x:c r="A685" s="23" t="str">
        <x:v>1043526392799</x:v>
      </x:c>
      <x:c r="B685" s="22"/>
      <x:c r="C685" s="22"/>
      <x:c r="D685" s="22"/>
      <x:c r="E685" s="9" t="str">
        <x:v>裙长未明确</x:v>
      </x:c>
      <x:c r="F685" s="9" t="str">
        <x:v>裙装</x:v>
      </x:c>
      <x:c r="G685" s="9" t="str">
        <x:v>半身裙</x:v>
      </x:c>
      <x:c r="H685" s="9" t="str">
        <x:v>女</x:v>
      </x:c>
      <x:c r="I685" s="9" t="str">
        <x:v>金冠信誉韩国代购MOJO.S.PHINE专柜正品2026夏季半身裙J262MSD013</x:v>
      </x:c>
      <x:c r="J685" s="9" t="str">
        <x:v>MOJO S．PHINE</x:v>
      </x:c>
      <x:c r="K685" s="24" t="n">
        <x:v>1766.37</x:v>
      </x:c>
      <x:c r="L685" s="25" t="e">
        <x:f>HYPERLINK("https://item.taobao.com/item.htm?id=1043526392799","打开商品")</x:f>
        <x:v>HYPERLINK is not implemented. linkLocation=https://item.taobao.com/item.htm?id=1043526392799, friendlyName=打开商品</x:v>
      </x:c>
      <x:c r="M685" s="25" t="e">
        <x:f>HYPERLINK("https://data.zhiyitech.cn/itemDetail/overview/base?itemId=1043526392799","打开知衣")</x:f>
        <x:v>HYPERLINK is not implemented. linkLocation=https://data.zhiyitech.cn/itemDetail/overview/base?itemId=1043526392799, friendlyName=打开知衣</x:v>
      </x:c>
      <x:c r="N685" s="25" t="e">
        <x:f>HYPERLINK("https://img.alicdn.com/bao/uploaded/i3/1013443933/O1CN01G5mL5V1evMrOKrrTe_!!1013443933.jpg","查看主图")</x:f>
        <x:v>HYPERLINK is not implemented. linkLocation=https://img.alicdn.com/bao/uploaded/i3/1013443933/O1CN01G5mL5V1evMrOKrrTe_!!1013443933.jpg, friendlyName=查看主图</x:v>
      </x:c>
      <x:c r="O685" s="9" t="str">
        <x:v>标题及既有类目语义复核；金冠信誉韩国代购MOJO.S.PHINE专柜正品2026夏季半身裙J262MSD013；原类目及标题已能确认半身裙；展示使用已知大类，未知裙长下沉到结构字段，不强猜长短。</x:v>
      </x:c>
      <x:c r="P685" s="9" t="str">
        <x:v>普通男女装</x:v>
      </x:c>
      <x:c r="Q685" s="9" t="str">
        <x:v>W_SKIRTS_AVGPAID_1700_1800_ANNUAL2026.xlsx</x:v>
      </x:c>
      <x:c r="R685" s="9" t="str">
        <x:v>默认</x:v>
      </x:c>
      <x:c r="S685" s="9" t="n">
        <x:v>108</x:v>
      </x:c>
      <x:c r="T685" s="9" t="str">
        <x:v>c25ed77c53c7c5cfcf728778a0e9b297d8689503f62756a939cbd534ca9b587a</x:v>
      </x:c>
      <x:c r="U685" s="9" t="str">
        <x:v>W_SKIRTS_AVGPAID_1700_1800_ANNUAL2026</x:v>
      </x:c>
      <x:c r="V685" s="9" t="str">
        <x:v>W_SKIRTS_AVGPAID_1700_1800_ANNUAL2026.xlsx / 默认 / 第108行 / SHA256 c25ed77c53c7c5cfcf728778a0e9b297d8689503f62756a939cbd534ca9b587a</x:v>
      </x:c>
    </x:row>
    <x:row r="686" ht="58" customHeight="1">
      <x:c r="A686" s="23" t="str">
        <x:v>867547874207</x:v>
      </x:c>
      <x:c r="B686" s="22"/>
      <x:c r="C686" s="22"/>
      <x:c r="D686" s="22"/>
      <x:c r="E686" s="9" t="str">
        <x:v>裙长未明确</x:v>
      </x:c>
      <x:c r="F686" s="9" t="str">
        <x:v>裙装</x:v>
      </x:c>
      <x:c r="G686" s="9" t="str">
        <x:v>半身裙</x:v>
      </x:c>
      <x:c r="H686" s="9" t="str">
        <x:v>女</x:v>
      </x:c>
      <x:c r="I686" s="9" t="str">
        <x:v>朗姿/MOJO AVENUE莫佐复古立体剪裁A字裙2025年新款遮肉显瘦百搭</x:v>
      </x:c>
      <x:c r="J686" s="9" t="str">
        <x:v>MOJO S．PHINE</x:v>
      </x:c>
      <x:c r="K686" s="24" t="n">
        <x:v>1703.85</x:v>
      </x:c>
      <x:c r="L686" s="25" t="e">
        <x:f>HYPERLINK("https://item.taobao.com/item.htm?id=867547874207","打开商品")</x:f>
        <x:v>HYPERLINK is not implemented. linkLocation=https://item.taobao.com/item.htm?id=867547874207, friendlyName=打开商品</x:v>
      </x:c>
      <x:c r="M686" s="25" t="e">
        <x:f>HYPERLINK("https://data.zhiyitech.cn/itemDetail/overview/base?itemId=867547874207","打开知衣")</x:f>
        <x:v>HYPERLINK is not implemented. linkLocation=https://data.zhiyitech.cn/itemDetail/overview/base?itemId=867547874207, friendlyName=打开知衣</x:v>
      </x:c>
      <x:c r="N686" s="25" t="e">
        <x:f>HYPERLINK("https://img.alicdn.com/bao/uploaded/i3/2214073359695/O1CN01gfKpp5gM4lE1chua_!!2214073359695.jpg","查看主图")</x:f>
        <x:v>HYPERLINK is not implemented. linkLocation=https://img.alicdn.com/bao/uploaded/i3/2214073359695/O1CN01gfKpp5gM4lE1chua_!!2214073359695.jpg, friendlyName=查看主图</x:v>
      </x:c>
      <x:c r="O686" s="9" t="str">
        <x:v>标题及既有类目语义复核；朗姿/MOJO AVENUE莫佐复古立体剪裁A字裙2025年新款遮肉显瘦百搭；原类目及标题已能确认半身裙；展示使用已知大类，未知裙长下沉到结构字段，不强猜长短。</x:v>
      </x:c>
      <x:c r="P686" s="9" t="str">
        <x:v>普通男女装</x:v>
      </x:c>
      <x:c r="Q686" s="9" t="str">
        <x:v>W_SKIRTS_AVGPAID_1700_1800_ANNUAL2026.xlsx</x:v>
      </x:c>
      <x:c r="R686" s="9" t="str">
        <x:v>默认</x:v>
      </x:c>
      <x:c r="S686" s="9" t="n">
        <x:v>384</x:v>
      </x:c>
      <x:c r="T686" s="9" t="str">
        <x:v>c25ed77c53c7c5cfcf728778a0e9b297d8689503f62756a939cbd534ca9b587a</x:v>
      </x:c>
      <x:c r="U686" s="9" t="str">
        <x:v>W_SKIRTS_AVGPAID_1700_1800_ANNUAL2026</x:v>
      </x:c>
      <x:c r="V686" s="9" t="str">
        <x:v>W_SKIRTS_AVGPAID_1700_1800_ANNUAL2026.xlsx / 默认 / 第384行 / SHA256 c25ed77c53c7c5cfcf728778a0e9b297d8689503f62756a939cbd534ca9b587a</x:v>
      </x:c>
    </x:row>
    <x:row r="687" ht="58" customHeight="1">
      <x:c r="A687" s="23" t="str">
        <x:v>1007377653899</x:v>
      </x:c>
      <x:c r="B687" s="22"/>
      <x:c r="C687" s="22"/>
      <x:c r="D687" s="22"/>
      <x:c r="E687" s="9" t="str">
        <x:v>裙长未明确</x:v>
      </x:c>
      <x:c r="F687" s="9" t="str">
        <x:v>裙装</x:v>
      </x:c>
      <x:c r="G687" s="9" t="str">
        <x:v>半身裙</x:v>
      </x:c>
      <x:c r="H687" s="9" t="str">
        <x:v>女</x:v>
      </x:c>
      <x:c r="I687" s="9" t="str">
        <x:v>【NOIR系列】MOCO半身裙桑蚕丝古法蕾丝腰带摩安珂</x:v>
      </x:c>
      <x:c r="J687" s="9" t="str">
        <x:v>MO＆CO．/摩安珂</x:v>
      </x:c>
      <x:c r="K687" s="24" t="n">
        <x:v>1787.7</x:v>
      </x:c>
      <x:c r="L687" s="25" t="e">
        <x:f>HYPERLINK("https://item.taobao.com/item.htm?id=1007377653899","打开商品")</x:f>
        <x:v>HYPERLINK is not implemented. linkLocation=https://item.taobao.com/item.htm?id=1007377653899, friendlyName=打开商品</x:v>
      </x:c>
      <x:c r="M687" s="25" t="e">
        <x:f>HYPERLINK("https://data.zhiyitech.cn/itemDetail/overview/base?itemId=1007377653899","打开知衣")</x:f>
        <x:v>HYPERLINK is not implemented. linkLocation=https://data.zhiyitech.cn/itemDetail/overview/base?itemId=1007377653899, friendlyName=打开知衣</x:v>
      </x:c>
      <x:c r="N687" s="25" t="e">
        <x:f>HYPERLINK("https://img.alicdn.com/bao/uploaded/i2/581746910/O1CN01yMFh1Fj9nUK2vH2e-581746910.jpg","查看主图")</x:f>
        <x:v>HYPERLINK is not implemented. linkLocation=https://img.alicdn.com/bao/uploaded/i2/581746910/O1CN01yMFh1Fj9nUK2vH2e-581746910.jpg, friendlyName=查看主图</x:v>
      </x:c>
      <x:c r="O687" s="9" t="str">
        <x:v>标题及既有类目语义复核；【NOIR系列】MOCO半身裙桑蚕丝古法蕾丝腰带摩安珂；原类目及标题已能确认半身裙；展示使用已知大类，未知裙长下沉到结构字段，不强猜长短。</x:v>
      </x:c>
      <x:c r="P687" s="9" t="str">
        <x:v>普通男女装</x:v>
      </x:c>
      <x:c r="Q687" s="9" t="str">
        <x:v>W_SKIRTS_AVGPAID_1700_1800_ANNUAL2026.xlsx</x:v>
      </x:c>
      <x:c r="R687" s="9" t="str">
        <x:v>默认</x:v>
      </x:c>
      <x:c r="S687" s="9" t="n">
        <x:v>65</x:v>
      </x:c>
      <x:c r="T687" s="9" t="str">
        <x:v>c25ed77c53c7c5cfcf728778a0e9b297d8689503f62756a939cbd534ca9b587a</x:v>
      </x:c>
      <x:c r="U687" s="9" t="str">
        <x:v>W_SKIRTS_AVGPAID_1700_1800_ANNUAL2026</x:v>
      </x:c>
      <x:c r="V687" s="9" t="str">
        <x:v>W_SKIRTS_AVGPAID_1700_1800_ANNUAL2026.xlsx / 默认 / 第65行 / SHA256 c25ed77c53c7c5cfcf728778a0e9b297d8689503f62756a939cbd534ca9b587a</x:v>
      </x:c>
    </x:row>
    <x:row r="688" ht="58" customHeight="1">
      <x:c r="A688" s="23" t="str">
        <x:v>1016091568522</x:v>
      </x:c>
      <x:c r="B688" s="22"/>
      <x:c r="C688" s="22"/>
      <x:c r="D688" s="22"/>
      <x:c r="E688" s="9" t="str">
        <x:v>裙长未明确</x:v>
      </x:c>
      <x:c r="F688" s="9" t="str">
        <x:v>裙装</x:v>
      </x:c>
      <x:c r="G688" s="9" t="str">
        <x:v>半身裙</x:v>
      </x:c>
      <x:c r="H688" s="9" t="str">
        <x:v>女</x:v>
      </x:c>
      <x:c r="I688" s="9" t="str">
        <x:v>MOCO半身裙铜氨人丝轻垂双腰带</x:v>
      </x:c>
      <x:c r="J688" s="9" t="str">
        <x:v>MO＆CO．/摩安珂</x:v>
      </x:c>
      <x:c r="K688" s="24" t="n">
        <x:v>1321.35</x:v>
      </x:c>
      <x:c r="L688" s="25" t="e">
        <x:f>HYPERLINK("https://item.taobao.com/item.htm?id=1016091568522","打开商品")</x:f>
        <x:v>HYPERLINK is not implemented. linkLocation=https://item.taobao.com/item.htm?id=1016091568522, friendlyName=打开商品</x:v>
      </x:c>
      <x:c r="M688" s="25" t="e">
        <x:f>HYPERLINK("https://data.zhiyitech.cn/itemDetail/overview/base?itemId=1016091568522","打开知衣")</x:f>
        <x:v>HYPERLINK is not implemented. linkLocation=https://data.zhiyitech.cn/itemDetail/overview/base?itemId=1016091568522, friendlyName=打开知衣</x:v>
      </x:c>
      <x:c r="N688" s="25" t="e">
        <x:f>HYPERLINK("https://img.alicdn.com/bao/uploaded/i2/581746910/O1CN01qqpQZHyQQdD2vH2e-581746910.jpg","查看主图")</x:f>
        <x:v>HYPERLINK is not implemented. linkLocation=https://img.alicdn.com/bao/uploaded/i2/581746910/O1CN01qqpQZHyQQdD2vH2e-581746910.jpg, friendlyName=查看主图</x:v>
      </x:c>
      <x:c r="O688" s="9" t="str">
        <x:v>标题及既有类目语义复核；MOCO半身裙铜氨人丝轻垂双腰带；原类目及标题已能确认半身裙；展示使用已知大类，未知裙长下沉到结构字段，不强猜长短。</x:v>
      </x:c>
      <x:c r="P688" s="9" t="str">
        <x:v>普通男女装</x:v>
      </x:c>
      <x:c r="Q688" s="9" t="str">
        <x:v>W_SKIRTS_AVGPAID_1300_1400_ANNUAL2026.xlsx</x:v>
      </x:c>
      <x:c r="R688" s="9" t="str">
        <x:v>默认</x:v>
      </x:c>
      <x:c r="S688" s="9" t="n">
        <x:v>183</x:v>
      </x:c>
      <x:c r="T688" s="9" t="str">
        <x:v>bd4dae1e08e9eca7ddd0669235bf59107cdc418b9c2898fc16f36a7ab5748692</x:v>
      </x:c>
      <x:c r="U688" s="9" t="str">
        <x:v>W_SKIRTS_AVGPAID_1300_1400_ANNUAL2026</x:v>
      </x:c>
      <x:c r="V688" s="9" t="str">
        <x:v>W_SKIRTS_AVGPAID_1300_1400_ANNUAL2026.xlsx / 默认 / 第183行 / SHA256 bd4dae1e08e9eca7ddd0669235bf59107cdc418b9c2898fc16f36a7ab5748692</x:v>
      </x:c>
    </x:row>
    <x:row r="689" ht="58" customHeight="1">
      <x:c r="A689" s="23" t="str">
        <x:v>1029676575535</x:v>
      </x:c>
      <x:c r="B689" s="22"/>
      <x:c r="C689" s="22"/>
      <x:c r="D689" s="22"/>
      <x:c r="E689" s="9" t="str">
        <x:v>裙长未明确</x:v>
      </x:c>
      <x:c r="F689" s="9" t="str">
        <x:v>裙装</x:v>
      </x:c>
      <x:c r="G689" s="9" t="str">
        <x:v>半身裙</x:v>
      </x:c>
      <x:c r="H689" s="9" t="str">
        <x:v>女</x:v>
      </x:c>
      <x:c r="I689" s="9" t="str">
        <x:v>NOIR系列MOCO半身裙工装附腰带</x:v>
      </x:c>
      <x:c r="J689" s="9" t="str">
        <x:v>MO＆CO．/摩安珂</x:v>
      </x:c>
      <x:c r="K689" s="24" t="n">
        <x:v>1527.65</x:v>
      </x:c>
      <x:c r="L689" s="25" t="e">
        <x:f>HYPERLINK("https://item.taobao.com/item.htm?id=1029676575535","打开商品")</x:f>
        <x:v>HYPERLINK is not implemented. linkLocation=https://item.taobao.com/item.htm?id=1029676575535, friendlyName=打开商品</x:v>
      </x:c>
      <x:c r="M689" s="25" t="e">
        <x:f>HYPERLINK("https://data.zhiyitech.cn/itemDetail/overview/base?itemId=1029676575535","打开知衣")</x:f>
        <x:v>HYPERLINK is not implemented. linkLocation=https://data.zhiyitech.cn/itemDetail/overview/base?itemId=1029676575535, friendlyName=打开知衣</x:v>
      </x:c>
      <x:c r="N689" s="25" t="e">
        <x:f>HYPERLINK("https://img.alicdn.com/bao/uploaded/i4/581746910/O1CN01uWfSb3AWI8B2vH2e-581746910.jpg","查看主图")</x:f>
        <x:v>HYPERLINK is not implemented. linkLocation=https://img.alicdn.com/bao/uploaded/i4/581746910/O1CN01uWfSb3AWI8B2vH2e-581746910.jpg, friendlyName=查看主图</x:v>
      </x:c>
      <x:c r="O689" s="9" t="str">
        <x:v>标题及既有类目语义复核；NOIR系列MOCO半身裙工装附腰带；原类目及标题已能确认半身裙；展示使用已知大类，未知裙长下沉到结构字段，不强猜长短。</x:v>
      </x:c>
      <x:c r="P689" s="9" t="str">
        <x:v>普通男女装</x:v>
      </x:c>
      <x:c r="Q689" s="9" t="str">
        <x:v>W_SKIRTS_AVGPAID_1500_1600_ANNUAL2026.xlsx</x:v>
      </x:c>
      <x:c r="R689" s="9" t="str">
        <x:v>默认</x:v>
      </x:c>
      <x:c r="S689" s="9" t="n">
        <x:v>427</x:v>
      </x:c>
      <x:c r="T689" s="9" t="str">
        <x:v>deede8b56943df4f914be45dba170f12e69064023d6ef0e88dbde1764f6ba23e</x:v>
      </x:c>
      <x:c r="U689" s="9" t="str">
        <x:v>W_SKIRTS_AVGPAID_1500_1600_ANNUAL2026</x:v>
      </x:c>
      <x:c r="V689" s="9" t="str">
        <x:v>W_SKIRTS_AVGPAID_1500_1600_ANNUAL2026.xlsx / 默认 / 第427行 / SHA256 deede8b56943df4f914be45dba170f12e69064023d6ef0e88dbde1764f6ba23e</x:v>
      </x:c>
    </x:row>
    <x:row r="690" ht="58" customHeight="1">
      <x:c r="A690" s="23" t="str">
        <x:v>1034651512269</x:v>
      </x:c>
      <x:c r="B690" s="22"/>
      <x:c r="C690" s="22"/>
      <x:c r="D690" s="22"/>
      <x:c r="E690" s="9" t="str">
        <x:v>裙长未明确</x:v>
      </x:c>
      <x:c r="F690" s="9" t="str">
        <x:v>裙装</x:v>
      </x:c>
      <x:c r="G690" s="9" t="str">
        <x:v>半身裙</x:v>
      </x:c>
      <x:c r="H690" s="9" t="str">
        <x:v>女</x:v>
      </x:c>
      <x:c r="I690" s="9" t="str">
        <x:v>MOCO半身裙全手织珠片水溶绣花</x:v>
      </x:c>
      <x:c r="J690" s="9" t="str">
        <x:v>MO＆CO．/摩安珂</x:v>
      </x:c>
      <x:c r="K690" s="24" t="n">
        <x:v>1323.95</x:v>
      </x:c>
      <x:c r="L690" s="25" t="e">
        <x:f>HYPERLINK("https://item.taobao.com/item.htm?id=1034651512269","打开商品")</x:f>
        <x:v>HYPERLINK is not implemented. linkLocation=https://item.taobao.com/item.htm?id=1034651512269, friendlyName=打开商品</x:v>
      </x:c>
      <x:c r="M690" s="25" t="e">
        <x:f>HYPERLINK("https://data.zhiyitech.cn/itemDetail/overview/base?itemId=1034651512269","打开知衣")</x:f>
        <x:v>HYPERLINK is not implemented. linkLocation=https://data.zhiyitech.cn/itemDetail/overview/base?itemId=1034651512269, friendlyName=打开知衣</x:v>
      </x:c>
      <x:c r="N690" s="25" t="e">
        <x:f>HYPERLINK("https://img.alicdn.com/bao/uploaded/i2/581746910/O1CN01NF3E8ouJgJD2vH2e-581746910.jpg","查看主图")</x:f>
        <x:v>HYPERLINK is not implemented. linkLocation=https://img.alicdn.com/bao/uploaded/i2/581746910/O1CN01NF3E8ouJgJD2vH2e-581746910.jpg, friendlyName=查看主图</x:v>
      </x:c>
      <x:c r="O690" s="9" t="str">
        <x:v>标题及既有类目语义复核；MOCO半身裙全手织珠片水溶绣花；原类目及标题已能确认半身裙；展示使用已知大类，未知裙长下沉到结构字段，不强猜长短。</x:v>
      </x:c>
      <x:c r="P690" s="9" t="str">
        <x:v>普通男女装</x:v>
      </x:c>
      <x:c r="Q690" s="9" t="str">
        <x:v>W_SKIRTS_AVGPAID_1300_1400_ANNUAL2026.xlsx</x:v>
      </x:c>
      <x:c r="R690" s="9" t="str">
        <x:v>默认</x:v>
      </x:c>
      <x:c r="S690" s="9" t="n">
        <x:v>22</x:v>
      </x:c>
      <x:c r="T690" s="9" t="str">
        <x:v>bd4dae1e08e9eca7ddd0669235bf59107cdc418b9c2898fc16f36a7ab5748692</x:v>
      </x:c>
      <x:c r="U690" s="9" t="str">
        <x:v>W_SKIRTS_AVGPAID_1300_1400_ANNUAL2026</x:v>
      </x:c>
      <x:c r="V690" s="9" t="str">
        <x:v>W_SKIRTS_AVGPAID_1300_1400_ANNUAL2026.xlsx / 默认 / 第22行 / SHA256 bd4dae1e08e9eca7ddd0669235bf59107cdc418b9c2898fc16f36a7ab5748692</x:v>
      </x:c>
    </x:row>
    <x:row r="691" ht="58" customHeight="1">
      <x:c r="A691" s="23" t="str">
        <x:v>1038468354416</x:v>
      </x:c>
      <x:c r="B691" s="22"/>
      <x:c r="C691" s="22"/>
      <x:c r="D691" s="22"/>
      <x:c r="E691" s="9" t="str">
        <x:v>裙长未明确</x:v>
      </x:c>
      <x:c r="F691" s="9" t="str">
        <x:v>裙装</x:v>
      </x:c>
      <x:c r="G691" s="9" t="str">
        <x:v>半身裙</x:v>
      </x:c>
      <x:c r="H691" s="9" t="str">
        <x:v>女</x:v>
      </x:c>
      <x:c r="I691" s="9" t="str">
        <x:v>MOCO半身裙诺曼底亚麻长绒棉镂空</x:v>
      </x:c>
      <x:c r="J691" s="9" t="str">
        <x:v>MO＆CO．/摩安珂</x:v>
      </x:c>
      <x:c r="K691" s="24" t="n">
        <x:v>1793.69</x:v>
      </x:c>
      <x:c r="L691" s="25" t="e">
        <x:f>HYPERLINK("https://item.taobao.com/item.htm?id=1038468354416","打开商品")</x:f>
        <x:v>HYPERLINK is not implemented. linkLocation=https://item.taobao.com/item.htm?id=1038468354416, friendlyName=打开商品</x:v>
      </x:c>
      <x:c r="M691" s="25" t="e">
        <x:f>HYPERLINK("https://data.zhiyitech.cn/itemDetail/overview/base?itemId=1038468354416","打开知衣")</x:f>
        <x:v>HYPERLINK is not implemented. linkLocation=https://data.zhiyitech.cn/itemDetail/overview/base?itemId=1038468354416, friendlyName=打开知衣</x:v>
      </x:c>
      <x:c r="N691" s="25" t="e">
        <x:f>HYPERLINK("https://img.alicdn.com/bao/uploaded/i2/581746910/O1CN01IAFbBKWSqTL2vH2e-581746910.jpg","查看主图")</x:f>
        <x:v>HYPERLINK is not implemented. linkLocation=https://img.alicdn.com/bao/uploaded/i2/581746910/O1CN01IAFbBKWSqTL2vH2e-581746910.jpg, friendlyName=查看主图</x:v>
      </x:c>
      <x:c r="O691" s="9" t="str">
        <x:v>标题及既有类目语义复核；MOCO半身裙诺曼底亚麻长绒棉镂空；原类目及标题已能确认半身裙；展示使用已知大类，未知裙长下沉到结构字段，不强猜长短。</x:v>
      </x:c>
      <x:c r="P691" s="9" t="str">
        <x:v>普通男女装</x:v>
      </x:c>
      <x:c r="Q691" s="9" t="str">
        <x:v>W_SKIRTS_AVGPAID_1700_1800_ANNUAL2026.xlsx</x:v>
      </x:c>
      <x:c r="R691" s="9" t="str">
        <x:v>默认</x:v>
      </x:c>
      <x:c r="S691" s="9" t="n">
        <x:v>20</x:v>
      </x:c>
      <x:c r="T691" s="9" t="str">
        <x:v>c25ed77c53c7c5cfcf728778a0e9b297d8689503f62756a939cbd534ca9b587a</x:v>
      </x:c>
      <x:c r="U691" s="9" t="str">
        <x:v>W_SKIRTS_AVGPAID_1700_1800_ANNUAL2026</x:v>
      </x:c>
      <x:c r="V691" s="9" t="str">
        <x:v>W_SKIRTS_AVGPAID_1700_1800_ANNUAL2026.xlsx / 默认 / 第20行 / SHA256 c25ed77c53c7c5cfcf728778a0e9b297d8689503f62756a939cbd534ca9b587a</x:v>
      </x:c>
    </x:row>
    <x:row r="692" ht="58" customHeight="1">
      <x:c r="A692" s="23" t="str">
        <x:v>1047244524506</x:v>
      </x:c>
      <x:c r="B692" s="22"/>
      <x:c r="C692" s="22"/>
      <x:c r="D692" s="22"/>
      <x:c r="E692" s="9" t="str">
        <x:v>裙长未明确</x:v>
      </x:c>
      <x:c r="F692" s="9" t="str">
        <x:v>裙装</x:v>
      </x:c>
      <x:c r="G692" s="9" t="str">
        <x:v>半身裙</x:v>
      </x:c>
      <x:c r="H692" s="9" t="str">
        <x:v>女</x:v>
      </x:c>
      <x:c r="I692" s="9" t="str">
        <x:v>MOCO半身裙丝绵轻薄花卉蛋糕裙</x:v>
      </x:c>
      <x:c r="J692" s="9" t="str">
        <x:v>MO＆CO．/摩安珂</x:v>
      </x:c>
      <x:c r="K692" s="24" t="n">
        <x:v>1529.01</x:v>
      </x:c>
      <x:c r="L692" s="25" t="e">
        <x:f>HYPERLINK("https://item.taobao.com/item.htm?id=1047244524506","打开商品")</x:f>
        <x:v>HYPERLINK is not implemented. linkLocation=https://item.taobao.com/item.htm?id=1047244524506, friendlyName=打开商品</x:v>
      </x:c>
      <x:c r="M692" s="25" t="e">
        <x:f>HYPERLINK("https://data.zhiyitech.cn/itemDetail/overview/base?itemId=1047244524506","打开知衣")</x:f>
        <x:v>HYPERLINK is not implemented. linkLocation=https://data.zhiyitech.cn/itemDetail/overview/base?itemId=1047244524506, friendlyName=打开知衣</x:v>
      </x:c>
      <x:c r="N692" s="25" t="e">
        <x:f>HYPERLINK("https://img.alicdn.com/bao/uploaded/i1/581746910/O1CN01mEqLhQEVO2F2vH2e-581746910.jpg","查看主图")</x:f>
        <x:v>HYPERLINK is not implemented. linkLocation=https://img.alicdn.com/bao/uploaded/i1/581746910/O1CN01mEqLhQEVO2F2vH2e-581746910.jpg, friendlyName=查看主图</x:v>
      </x:c>
      <x:c r="O692" s="9" t="str">
        <x:v>标题及既有类目语义复核；MOCO半身裙丝绵轻薄花卉蛋糕裙；原类目及标题已能确认半身裙；展示使用已知大类，未知裙长下沉到结构字段，不强猜长短。</x:v>
      </x:c>
      <x:c r="P692" s="9" t="str">
        <x:v>普通男女装</x:v>
      </x:c>
      <x:c r="Q692" s="9" t="str">
        <x:v>W_SKIRTS_AVGPAID_1500_1600_ANNUAL2026.xlsx</x:v>
      </x:c>
      <x:c r="R692" s="9" t="str">
        <x:v>默认</x:v>
      </x:c>
      <x:c r="S692" s="9" t="n">
        <x:v>141</x:v>
      </x:c>
      <x:c r="T692" s="9" t="str">
        <x:v>deede8b56943df4f914be45dba170f12e69064023d6ef0e88dbde1764f6ba23e</x:v>
      </x:c>
      <x:c r="U692" s="9" t="str">
        <x:v>W_SKIRTS_AVGPAID_1500_1600_ANNUAL2026</x:v>
      </x:c>
      <x:c r="V692" s="9" t="str">
        <x:v>W_SKIRTS_AVGPAID_1500_1600_ANNUAL2026.xlsx / 默认 / 第141行 / SHA256 deede8b56943df4f914be45dba170f12e69064023d6ef0e88dbde1764f6ba23e</x:v>
      </x:c>
    </x:row>
    <x:row r="693" ht="58" customHeight="1">
      <x:c r="A693" s="23" t="str">
        <x:v>1053257137137</x:v>
      </x:c>
      <x:c r="B693" s="22"/>
      <x:c r="C693" s="22"/>
      <x:c r="D693" s="22"/>
      <x:c r="E693" s="9" t="str">
        <x:v>裙长未明确</x:v>
      </x:c>
      <x:c r="F693" s="9" t="str">
        <x:v>裙装</x:v>
      </x:c>
      <x:c r="G693" s="9" t="str">
        <x:v>半身裙</x:v>
      </x:c>
      <x:c r="H693" s="9" t="str">
        <x:v>女</x:v>
      </x:c>
      <x:c r="I693" s="9" t="str">
        <x:v>NOIR系列MOCO半身裙桑蚕丝开叉</x:v>
      </x:c>
      <x:c r="J693" s="9" t="str">
        <x:v>MO＆CO．/摩安珂</x:v>
      </x:c>
      <x:c r="K693" s="24" t="n">
        <x:v>1760.12</x:v>
      </x:c>
      <x:c r="L693" s="25" t="e">
        <x:f>HYPERLINK("https://item.taobao.com/item.htm?id=1053257137137","打开商品")</x:f>
        <x:v>HYPERLINK is not implemented. linkLocation=https://item.taobao.com/item.htm?id=1053257137137, friendlyName=打开商品</x:v>
      </x:c>
      <x:c r="M693" s="25" t="e">
        <x:f>HYPERLINK("https://data.zhiyitech.cn/itemDetail/overview/base?itemId=1053257137137","打开知衣")</x:f>
        <x:v>HYPERLINK is not implemented. linkLocation=https://data.zhiyitech.cn/itemDetail/overview/base?itemId=1053257137137, friendlyName=打开知衣</x:v>
      </x:c>
      <x:c r="N693" s="25" t="e">
        <x:f>HYPERLINK("https://img.alicdn.com/bao/uploaded/i3/581746910/O1CN01u0imnUlybAL2vH2e-581746910.jpg","查看主图")</x:f>
        <x:v>HYPERLINK is not implemented. linkLocation=https://img.alicdn.com/bao/uploaded/i3/581746910/O1CN01u0imnUlybAL2vH2e-581746910.jpg, friendlyName=查看主图</x:v>
      </x:c>
      <x:c r="O693" s="9" t="str">
        <x:v>标题及既有类目语义复核；NOIR系列MOCO半身裙桑蚕丝开叉；原类目及标题已能确认半身裙；展示使用已知大类，未知裙长下沉到结构字段，不强猜长短。</x:v>
      </x:c>
      <x:c r="P693" s="9" t="str">
        <x:v>普通男女装</x:v>
      </x:c>
      <x:c r="Q693" s="9" t="str">
        <x:v>W_SKIRTS_AVGPAID_1700_1800_ANNUAL2026.xlsx</x:v>
      </x:c>
      <x:c r="R693" s="9" t="str">
        <x:v>默认</x:v>
      </x:c>
      <x:c r="S693" s="9" t="n">
        <x:v>164</x:v>
      </x:c>
      <x:c r="T693" s="9" t="str">
        <x:v>c25ed77c53c7c5cfcf728778a0e9b297d8689503f62756a939cbd534ca9b587a</x:v>
      </x:c>
      <x:c r="U693" s="9" t="str">
        <x:v>W_SKIRTS_AVGPAID_1700_1800_ANNUAL2026</x:v>
      </x:c>
      <x:c r="V693" s="9" t="str">
        <x:v>W_SKIRTS_AVGPAID_1700_1800_ANNUAL2026.xlsx / 默认 / 第164行 / SHA256 c25ed77c53c7c5cfcf728778a0e9b297d8689503f62756a939cbd534ca9b587a</x:v>
      </x:c>
    </x:row>
    <x:row r="694" ht="58" customHeight="1">
      <x:c r="A694" s="23" t="str">
        <x:v>1057127970789</x:v>
      </x:c>
      <x:c r="B694" s="22"/>
      <x:c r="C694" s="22"/>
      <x:c r="D694" s="22"/>
      <x:c r="E694" s="9" t="str">
        <x:v>裙长未明确</x:v>
      </x:c>
      <x:c r="F694" s="9" t="str">
        <x:v>裙装</x:v>
      </x:c>
      <x:c r="G694" s="9" t="str">
        <x:v>半身裙</x:v>
      </x:c>
      <x:c r="H694" s="9" t="str">
        <x:v>女</x:v>
      </x:c>
      <x:c r="I694" s="9" t="str">
        <x:v>NOIR系列MOCO半身裙乱褶花边烫钻</x:v>
      </x:c>
      <x:c r="J694" s="9" t="str">
        <x:v>MO＆CO．/摩安珂</x:v>
      </x:c>
      <x:c r="K694" s="24" t="n">
        <x:v>1790.38</x:v>
      </x:c>
      <x:c r="L694" s="25" t="e">
        <x:f>HYPERLINK("https://item.taobao.com/item.htm?id=1057127970789","打开商品")</x:f>
        <x:v>HYPERLINK is not implemented. linkLocation=https://item.taobao.com/item.htm?id=1057127970789, friendlyName=打开商品</x:v>
      </x:c>
      <x:c r="M694" s="25" t="e">
        <x:f>HYPERLINK("https://data.zhiyitech.cn/itemDetail/overview/base?itemId=1057127970789","打开知衣")</x:f>
        <x:v>HYPERLINK is not implemented. linkLocation=https://data.zhiyitech.cn/itemDetail/overview/base?itemId=1057127970789, friendlyName=打开知衣</x:v>
      </x:c>
      <x:c r="N694" s="25" t="e">
        <x:f>HYPERLINK("https://img.alicdn.com/bao/uploaded/i1/581746910/O1CN01fKrjddKmtUE2vH2e-581746910.jpg","查看主图")</x:f>
        <x:v>HYPERLINK is not implemented. linkLocation=https://img.alicdn.com/bao/uploaded/i1/581746910/O1CN01fKrjddKmtUE2vH2e-581746910.jpg, friendlyName=查看主图</x:v>
      </x:c>
      <x:c r="O694" s="9" t="str">
        <x:v>标题及既有类目语义复核；NOIR系列MOCO半身裙乱褶花边烫钻；原类目及标题已能确认半身裙；展示使用已知大类，未知裙长下沉到结构字段，不强猜长短。</x:v>
      </x:c>
      <x:c r="P694" s="9" t="str">
        <x:v>普通男女装</x:v>
      </x:c>
      <x:c r="Q694" s="9" t="str">
        <x:v>W_SKIRTS_AVGPAID_1700_1800_ANNUAL2026.xlsx</x:v>
      </x:c>
      <x:c r="R694" s="9" t="str">
        <x:v>默认</x:v>
      </x:c>
      <x:c r="S694" s="9" t="n">
        <x:v>179</x:v>
      </x:c>
      <x:c r="T694" s="9" t="str">
        <x:v>c25ed77c53c7c5cfcf728778a0e9b297d8689503f62756a939cbd534ca9b587a</x:v>
      </x:c>
      <x:c r="U694" s="9" t="str">
        <x:v>W_SKIRTS_AVGPAID_1700_1800_ANNUAL2026</x:v>
      </x:c>
      <x:c r="V694" s="9" t="str">
        <x:v>W_SKIRTS_AVGPAID_1700_1800_ANNUAL2026.xlsx / 默认 / 第179行 / SHA256 c25ed77c53c7c5cfcf728778a0e9b297d8689503f62756a939cbd534ca9b587a</x:v>
      </x:c>
    </x:row>
    <x:row r="695" ht="58" customHeight="1">
      <x:c r="A695" s="23" t="str">
        <x:v>1063274735435</x:v>
      </x:c>
      <x:c r="B695" s="22"/>
      <x:c r="C695" s="22"/>
      <x:c r="D695" s="22"/>
      <x:c r="E695" s="9" t="str">
        <x:v>裙长未明确</x:v>
      </x:c>
      <x:c r="F695" s="9" t="str">
        <x:v>裙装</x:v>
      </x:c>
      <x:c r="G695" s="9" t="str">
        <x:v>半身裙</x:v>
      </x:c>
      <x:c r="H695" s="9" t="str">
        <x:v>女</x:v>
      </x:c>
      <x:c r="I695" s="9" t="str">
        <x:v>【NOIR系列】MOCO半身裙附腰带2026秋新品烟草棕开叉NBF3SKT001</x:v>
      </x:c>
      <x:c r="J695" s="9" t="str">
        <x:v>MO＆CO．/摩安珂</x:v>
      </x:c>
      <x:c r="K695" s="24" t="n">
        <x:v>1762.38</x:v>
      </x:c>
      <x:c r="L695" s="25" t="e">
        <x:f>HYPERLINK("https://item.taobao.com/item.htm?id=1063274735435","打开商品")</x:f>
        <x:v>HYPERLINK is not implemented. linkLocation=https://item.taobao.com/item.htm?id=1063274735435, friendlyName=打开商品</x:v>
      </x:c>
      <x:c r="M695" s="25" t="e">
        <x:f>HYPERLINK("https://data.zhiyitech.cn/itemDetail/overview/base?itemId=1063274735435","打开知衣")</x:f>
        <x:v>HYPERLINK is not implemented. linkLocation=https://data.zhiyitech.cn/itemDetail/overview/base?itemId=1063274735435, friendlyName=打开知衣</x:v>
      </x:c>
      <x:c r="N695" s="25" t="e">
        <x:f>HYPERLINK("https://img.alicdn.com/bao/uploaded/i2/581746910/O1CN01YINCM9iCl4E2vH2e_!!4611686018427379934-0-item_pic.jpg","查看主图")</x:f>
        <x:v>HYPERLINK is not implemented. linkLocation=https://img.alicdn.com/bao/uploaded/i2/581746910/O1CN01YINCM9iCl4E2vH2e_!!4611686018427379934-0-item_pic.jpg, friendlyName=查看主图</x:v>
      </x:c>
      <x:c r="O695" s="9" t="str">
        <x:v>标题及既有类目语义复核；【NOIR系列】MOCO半身裙附腰带2026秋新品烟草棕开叉NBF3SKT001；原类目及标题已能确认半身裙；展示使用已知大类，未知裙长下沉到结构字段，不强猜长短。</x:v>
      </x:c>
      <x:c r="P695" s="9" t="str">
        <x:v>普通男女装</x:v>
      </x:c>
      <x:c r="Q695" s="9" t="str">
        <x:v>W_SKIRTS_AVGPAID_1700_1800_ANNUAL2026.xlsx</x:v>
      </x:c>
      <x:c r="R695" s="9" t="str">
        <x:v>默认</x:v>
      </x:c>
      <x:c r="S695" s="9" t="n">
        <x:v>79</x:v>
      </x:c>
      <x:c r="T695" s="9" t="str">
        <x:v>c25ed77c53c7c5cfcf728778a0e9b297d8689503f62756a939cbd534ca9b587a</x:v>
      </x:c>
      <x:c r="U695" s="9" t="str">
        <x:v>W_SKIRTS_AVGPAID_1700_1800_ANNUAL2026</x:v>
      </x:c>
      <x:c r="V695" s="9" t="str">
        <x:v>W_SKIRTS_AVGPAID_1700_1800_ANNUAL2026.xlsx / 默认 / 第79行 / SHA256 c25ed77c53c7c5cfcf728778a0e9b297d8689503f62756a939cbd534ca9b587a</x:v>
      </x:c>
    </x:row>
    <x:row r="696" ht="58" customHeight="1">
      <x:c r="A696" s="23" t="str">
        <x:v>1066046652624</x:v>
      </x:c>
      <x:c r="B696" s="22"/>
      <x:c r="C696" s="22"/>
      <x:c r="D696" s="22"/>
      <x:c r="E696" s="9" t="str">
        <x:v>裙长未明确</x:v>
      </x:c>
      <x:c r="F696" s="9" t="str">
        <x:v>裙装</x:v>
      </x:c>
      <x:c r="G696" s="9" t="str">
        <x:v>半身裙</x:v>
      </x:c>
      <x:c r="H696" s="9" t="str">
        <x:v>女</x:v>
      </x:c>
      <x:c r="I696" s="9" t="str">
        <x:v>NOIR系列MOCO半身裙精工珠片绣</x:v>
      </x:c>
      <x:c r="J696" s="9" t="str">
        <x:v>MO＆CO．/摩安珂</x:v>
      </x:c>
      <x:c r="K696" s="24" t="n">
        <x:v>1775.82</x:v>
      </x:c>
      <x:c r="L696" s="25" t="e">
        <x:f>HYPERLINK("https://item.taobao.com/item.htm?id=1066046652624","打开商品")</x:f>
        <x:v>HYPERLINK is not implemented. linkLocation=https://item.taobao.com/item.htm?id=1066046652624, friendlyName=打开商品</x:v>
      </x:c>
      <x:c r="M696" s="25" t="e">
        <x:f>HYPERLINK("https://data.zhiyitech.cn/itemDetail/overview/base?itemId=1066046652624","打开知衣")</x:f>
        <x:v>HYPERLINK is not implemented. linkLocation=https://data.zhiyitech.cn/itemDetail/overview/base?itemId=1066046652624, friendlyName=打开知衣</x:v>
      </x:c>
      <x:c r="N696" s="25" t="e">
        <x:f>HYPERLINK("https://img.alicdn.com/bao/uploaded/i4/581746910/O1CN01v4JL2b1TvyI2vH2e-581746910.jpg","查看主图")</x:f>
        <x:v>HYPERLINK is not implemented. linkLocation=https://img.alicdn.com/bao/uploaded/i4/581746910/O1CN01v4JL2b1TvyI2vH2e-581746910.jpg, friendlyName=查看主图</x:v>
      </x:c>
      <x:c r="O696" s="9" t="str">
        <x:v>标题及既有类目语义复核；NOIR系列MOCO半身裙精工珠片绣；原类目及标题已能确认半身裙；展示使用已知大类，未知裙长下沉到结构字段，不强猜长短。</x:v>
      </x:c>
      <x:c r="P696" s="9" t="str">
        <x:v>普通男女装</x:v>
      </x:c>
      <x:c r="Q696" s="9" t="str">
        <x:v>W_SKIRTS_AVGPAID_1700_1800_ANNUAL2026.xlsx</x:v>
      </x:c>
      <x:c r="R696" s="9" t="str">
        <x:v>默认</x:v>
      </x:c>
      <x:c r="S696" s="9" t="n">
        <x:v>285</x:v>
      </x:c>
      <x:c r="T696" s="9" t="str">
        <x:v>c25ed77c53c7c5cfcf728778a0e9b297d8689503f62756a939cbd534ca9b587a</x:v>
      </x:c>
      <x:c r="U696" s="9" t="str">
        <x:v>W_SKIRTS_AVGPAID_1700_1800_ANNUAL2026</x:v>
      </x:c>
      <x:c r="V696" s="9" t="str">
        <x:v>W_SKIRTS_AVGPAID_1700_1800_ANNUAL2026.xlsx / 默认 / 第285行 / SHA256 c25ed77c53c7c5cfcf728778a0e9b297d8689503f62756a939cbd534ca9b587a</x:v>
      </x:c>
    </x:row>
    <x:row r="697" ht="58" customHeight="1">
      <x:c r="A697" s="23" t="str">
        <x:v>1078796161642</x:v>
      </x:c>
      <x:c r="B697" s="22"/>
      <x:c r="C697" s="22"/>
      <x:c r="D697" s="22"/>
      <x:c r="E697" s="9" t="str">
        <x:v>裙长未明确</x:v>
      </x:c>
      <x:c r="F697" s="9" t="str">
        <x:v>裙装</x:v>
      </x:c>
      <x:c r="G697" s="9" t="str">
        <x:v>半身裙</x:v>
      </x:c>
      <x:c r="H697" s="9" t="str">
        <x:v>女</x:v>
      </x:c>
      <x:c r="I697" s="9" t="str">
        <x:v>MOCO半身裙附腰带2026冬新品意式精工磨毛全棉深宝伞裙MBF4SKT015</x:v>
      </x:c>
      <x:c r="J697" s="9" t="str">
        <x:v>MO＆CO．/摩安珂</x:v>
      </x:c>
      <x:c r="K697" s="24" t="n">
        <x:v>1335.7</x:v>
      </x:c>
      <x:c r="L697" s="25" t="e">
        <x:f>HYPERLINK("https://item.taobao.com/item.htm?id=1078796161642","打开商品")</x:f>
        <x:v>HYPERLINK is not implemented. linkLocation=https://item.taobao.com/item.htm?id=1078796161642, friendlyName=打开商品</x:v>
      </x:c>
      <x:c r="M697" s="25" t="e">
        <x:f>HYPERLINK("https://data.zhiyitech.cn/itemDetail/overview/base?itemId=1078796161642","打开知衣")</x:f>
        <x:v>HYPERLINK is not implemented. linkLocation=https://data.zhiyitech.cn/itemDetail/overview/base?itemId=1078796161642, friendlyName=打开知衣</x:v>
      </x:c>
      <x:c r="N697" s="25" t="e">
        <x:f>HYPERLINK("https://img.alicdn.com/bao/uploaded/i3/581746910/O1CN01vt5FNKY7muD2vH2e-581746910.jpg","查看主图")</x:f>
        <x:v>HYPERLINK is not implemented. linkLocation=https://img.alicdn.com/bao/uploaded/i3/581746910/O1CN01vt5FNKY7muD2vH2e-581746910.jpg, friendlyName=查看主图</x:v>
      </x:c>
      <x:c r="O697" s="9" t="str">
        <x:v>标题及既有类目语义复核；MOCO半身裙附腰带2026冬新品意式精工磨毛全棉深宝伞裙MBF4SKT015；原类目及标题已能确认半身裙；展示使用已知大类，未知裙长下沉到结构字段，不强猜长短。</x:v>
      </x:c>
      <x:c r="P697" s="9" t="str">
        <x:v>普通男女装</x:v>
      </x:c>
      <x:c r="Q697" s="9" t="str">
        <x:v>W_SKIRTS_AVGPAID_1300_1400_ANNUAL2026.xlsx</x:v>
      </x:c>
      <x:c r="R697" s="9" t="str">
        <x:v>默认</x:v>
      </x:c>
      <x:c r="S697" s="9" t="n">
        <x:v>121</x:v>
      </x:c>
      <x:c r="T697" s="9" t="str">
        <x:v>bd4dae1e08e9eca7ddd0669235bf59107cdc418b9c2898fc16f36a7ab5748692</x:v>
      </x:c>
      <x:c r="U697" s="9" t="str">
        <x:v>W_SKIRTS_AVGPAID_1300_1400_ANNUAL2026</x:v>
      </x:c>
      <x:c r="V697" s="9" t="str">
        <x:v>W_SKIRTS_AVGPAID_1300_1400_ANNUAL2026.xlsx / 默认 / 第121行 / SHA256 bd4dae1e08e9eca7ddd0669235bf59107cdc418b9c2898fc16f36a7ab5748692</x:v>
      </x:c>
    </x:row>
    <x:row r="698" ht="58" customHeight="1">
      <x:c r="A698" s="23" t="str">
        <x:v>909324382562</x:v>
      </x:c>
      <x:c r="B698" s="22"/>
      <x:c r="C698" s="22"/>
      <x:c r="D698" s="22"/>
      <x:c r="E698" s="9" t="str">
        <x:v>裙长未明确</x:v>
      </x:c>
      <x:c r="F698" s="9" t="str">
        <x:v>裙装</x:v>
      </x:c>
      <x:c r="G698" s="9" t="str">
        <x:v>半身裙</x:v>
      </x:c>
      <x:c r="H698" s="9" t="str">
        <x:v>女</x:v>
      </x:c>
      <x:c r="I698" s="9" t="str">
        <x:v>MOCO【NOIR系列】半身裙附腰带</x:v>
      </x:c>
      <x:c r="J698" s="9" t="str">
        <x:v>MO＆CO．/摩安珂</x:v>
      </x:c>
      <x:c r="K698" s="24" t="n">
        <x:v>1330.23</x:v>
      </x:c>
      <x:c r="L698" s="25" t="e">
        <x:f>HYPERLINK("https://item.taobao.com/item.htm?id=909324382562","打开商品")</x:f>
        <x:v>HYPERLINK is not implemented. linkLocation=https://item.taobao.com/item.htm?id=909324382562, friendlyName=打开商品</x:v>
      </x:c>
      <x:c r="M698" s="25" t="e">
        <x:f>HYPERLINK("https://data.zhiyitech.cn/itemDetail/overview/base?itemId=909324382562","打开知衣")</x:f>
        <x:v>HYPERLINK is not implemented. linkLocation=https://data.zhiyitech.cn/itemDetail/overview/base?itemId=909324382562, friendlyName=打开知衣</x:v>
      </x:c>
      <x:c r="N698" s="25" t="e">
        <x:f>HYPERLINK("https://img.alicdn.com/bao/uploaded/i2/581746910/O1CN01aEz1gCgYqmL1chua-581746910.jpg","查看主图")</x:f>
        <x:v>HYPERLINK is not implemented. linkLocation=https://img.alicdn.com/bao/uploaded/i2/581746910/O1CN01aEz1gCgYqmL1chua-581746910.jpg, friendlyName=查看主图</x:v>
      </x:c>
      <x:c r="O698" s="9" t="str">
        <x:v>标题及既有类目语义复核；MOCO【NOIR系列】半身裙附腰带；原类目及标题已能确认半身裙；展示使用已知大类，未知裙长下沉到结构字段，不强猜长短。</x:v>
      </x:c>
      <x:c r="P698" s="9" t="str">
        <x:v>普通男女装</x:v>
      </x:c>
      <x:c r="Q698" s="9" t="str">
        <x:v>W_SKIRTS_AVGPAID_1300_1400_ANNUAL2026.xlsx</x:v>
      </x:c>
      <x:c r="R698" s="9" t="str">
        <x:v>默认</x:v>
      </x:c>
      <x:c r="S698" s="9" t="n">
        <x:v>62</x:v>
      </x:c>
      <x:c r="T698" s="9" t="str">
        <x:v>bd4dae1e08e9eca7ddd0669235bf59107cdc418b9c2898fc16f36a7ab5748692</x:v>
      </x:c>
      <x:c r="U698" s="9" t="str">
        <x:v>W_SKIRTS_AVGPAID_1300_1400_ANNUAL2026</x:v>
      </x:c>
      <x:c r="V698" s="9" t="str">
        <x:v>W_SKIRTS_AVGPAID_1300_1400_ANNUAL2026.xlsx / 默认 / 第62行 / SHA256 bd4dae1e08e9eca7ddd0669235bf59107cdc418b9c2898fc16f36a7ab5748692</x:v>
      </x:c>
    </x:row>
    <x:row r="699" ht="58" customHeight="1">
      <x:c r="A699" s="23" t="str">
        <x:v>958051123304</x:v>
      </x:c>
      <x:c r="B699" s="22"/>
      <x:c r="C699" s="22"/>
      <x:c r="D699" s="22"/>
      <x:c r="E699" s="9" t="str">
        <x:v>裙长未明确</x:v>
      </x:c>
      <x:c r="F699" s="9" t="str">
        <x:v>裙装</x:v>
      </x:c>
      <x:c r="G699" s="9" t="str">
        <x:v>半身裙</x:v>
      </x:c>
      <x:c r="H699" s="9" t="str">
        <x:v>女</x:v>
      </x:c>
      <x:c r="I699" s="9" t="str">
        <x:v>【NOIR系列】MOCO半身裙摩安珂春秋复古烟熏绒感附腰带</x:v>
      </x:c>
      <x:c r="J699" s="9" t="str">
        <x:v>MO＆CO．/摩安珂</x:v>
      </x:c>
      <x:c r="K699" s="24" t="n">
        <x:v>1348.13</x:v>
      </x:c>
      <x:c r="L699" s="25" t="e">
        <x:f>HYPERLINK("https://item.taobao.com/item.htm?id=958051123304","打开商品")</x:f>
        <x:v>HYPERLINK is not implemented. linkLocation=https://item.taobao.com/item.htm?id=958051123304, friendlyName=打开商品</x:v>
      </x:c>
      <x:c r="M699" s="25" t="e">
        <x:f>HYPERLINK("https://data.zhiyitech.cn/itemDetail/overview/base?itemId=958051123304","打开知衣")</x:f>
        <x:v>HYPERLINK is not implemented. linkLocation=https://data.zhiyitech.cn/itemDetail/overview/base?itemId=958051123304, friendlyName=打开知衣</x:v>
      </x:c>
      <x:c r="N699" s="25" t="e">
        <x:f>HYPERLINK("https://img.alicdn.com/bao/uploaded/i2/581746910/O1CN01xzTZIqdjWGG2vH2e-581746910.jpg","查看主图")</x:f>
        <x:v>HYPERLINK is not implemented. linkLocation=https://img.alicdn.com/bao/uploaded/i2/581746910/O1CN01xzTZIqdjWGG2vH2e-581746910.jpg, friendlyName=查看主图</x:v>
      </x:c>
      <x:c r="O699" s="9" t="str">
        <x:v>标题及既有类目语义复核；【NOIR系列】MOCO半身裙摩安珂春秋复古烟熏绒感附腰带；原类目及标题已能确认半身裙；展示使用已知大类，未知裙长下沉到结构字段，不强猜长短。</x:v>
      </x:c>
      <x:c r="P699" s="9" t="str">
        <x:v>普通男女装</x:v>
      </x:c>
      <x:c r="Q699" s="9" t="str">
        <x:v>W_SKIRTS_AVGPAID_1300_1400_ANNUAL2026.xlsx</x:v>
      </x:c>
      <x:c r="R699" s="9" t="str">
        <x:v>默认</x:v>
      </x:c>
      <x:c r="S699" s="9" t="n">
        <x:v>154</x:v>
      </x:c>
      <x:c r="T699" s="9" t="str">
        <x:v>bd4dae1e08e9eca7ddd0669235bf59107cdc418b9c2898fc16f36a7ab5748692</x:v>
      </x:c>
      <x:c r="U699" s="9" t="str">
        <x:v>W_SKIRTS_AVGPAID_1300_1400_ANNUAL2026</x:v>
      </x:c>
      <x:c r="V699" s="9" t="str">
        <x:v>W_SKIRTS_AVGPAID_1300_1400_ANNUAL2026.xlsx / 默认 / 第154行 / SHA256 bd4dae1e08e9eca7ddd0669235bf59107cdc418b9c2898fc16f36a7ab5748692</x:v>
      </x:c>
    </x:row>
    <x:row r="700" ht="58" customHeight="1">
      <x:c r="A700" s="23" t="str">
        <x:v>958533382304</x:v>
      </x:c>
      <x:c r="B700" s="22"/>
      <x:c r="C700" s="22"/>
      <x:c r="D700" s="22"/>
      <x:c r="E700" s="9" t="str">
        <x:v>裙长未明确</x:v>
      </x:c>
      <x:c r="F700" s="9" t="str">
        <x:v>裙装</x:v>
      </x:c>
      <x:c r="G700" s="9" t="str">
        <x:v>半身裙</x:v>
      </x:c>
      <x:c r="H700" s="9" t="str">
        <x:v>女</x:v>
      </x:c>
      <x:c r="I700" s="9" t="str">
        <x:v>MOCO【NOIR系列】半身裙精工蕾丝</x:v>
      </x:c>
      <x:c r="J700" s="9" t="str">
        <x:v>MO＆CO．/摩安珂</x:v>
      </x:c>
      <x:c r="K700" s="24" t="n">
        <x:v>1573.3</x:v>
      </x:c>
      <x:c r="L700" s="25" t="e">
        <x:f>HYPERLINK("https://item.taobao.com/item.htm?id=958533382304","打开商品")</x:f>
        <x:v>HYPERLINK is not implemented. linkLocation=https://item.taobao.com/item.htm?id=958533382304, friendlyName=打开商品</x:v>
      </x:c>
      <x:c r="M700" s="25" t="e">
        <x:f>HYPERLINK("https://data.zhiyitech.cn/itemDetail/overview/base?itemId=958533382304","打开知衣")</x:f>
        <x:v>HYPERLINK is not implemented. linkLocation=https://data.zhiyitech.cn/itemDetail/overview/base?itemId=958533382304, friendlyName=打开知衣</x:v>
      </x:c>
      <x:c r="N700" s="25" t="e">
        <x:f>HYPERLINK("https://img.alicdn.com/bao/uploaded/i3/581746910/O1CN01Svwsji7ShJG2vH2e-581746910.jpg","查看主图")</x:f>
        <x:v>HYPERLINK is not implemented. linkLocation=https://img.alicdn.com/bao/uploaded/i3/581746910/O1CN01Svwsji7ShJG2vH2e-581746910.jpg, friendlyName=查看主图</x:v>
      </x:c>
      <x:c r="O700" s="9" t="str">
        <x:v>标题及既有类目语义复核；MOCO【NOIR系列】半身裙精工蕾丝；原类目及标题已能确认半身裙；展示使用已知大类，未知裙长下沉到结构字段，不强猜长短。</x:v>
      </x:c>
      <x:c r="P700" s="9" t="str">
        <x:v>普通男女装</x:v>
      </x:c>
      <x:c r="Q700" s="9" t="str">
        <x:v>W_SKIRTS_AVGPAID_1500_1600_ANNUAL2026.xlsx</x:v>
      </x:c>
      <x:c r="R700" s="9" t="str">
        <x:v>默认</x:v>
      </x:c>
      <x:c r="S700" s="9" t="n">
        <x:v>263</x:v>
      </x:c>
      <x:c r="T700" s="9" t="str">
        <x:v>deede8b56943df4f914be45dba170f12e69064023d6ef0e88dbde1764f6ba23e</x:v>
      </x:c>
      <x:c r="U700" s="9" t="str">
        <x:v>W_SKIRTS_AVGPAID_1500_1600_ANNUAL2026</x:v>
      </x:c>
      <x:c r="V700" s="9" t="str">
        <x:v>W_SKIRTS_AVGPAID_1500_1600_ANNUAL2026.xlsx / 默认 / 第263行 / SHA256 deede8b56943df4f914be45dba170f12e69064023d6ef0e88dbde1764f6ba23e</x:v>
      </x:c>
    </x:row>
    <x:row r="701" ht="58" customHeight="1">
      <x:c r="A701" s="23" t="str">
        <x:v>979949934604</x:v>
      </x:c>
      <x:c r="B701" s="22"/>
      <x:c r="C701" s="22"/>
      <x:c r="D701" s="22"/>
      <x:c r="E701" s="9" t="str">
        <x:v>裙长未明确</x:v>
      </x:c>
      <x:c r="F701" s="9" t="str">
        <x:v>裙装</x:v>
      </x:c>
      <x:c r="G701" s="9" t="str">
        <x:v>半身裙</x:v>
      </x:c>
      <x:c r="H701" s="9" t="str">
        <x:v>女</x:v>
      </x:c>
      <x:c r="I701" s="9" t="str">
        <x:v>【Nanushka设计师联名】MOCO半身裙双面素皮摩安珂</x:v>
      </x:c>
      <x:c r="J701" s="9" t="str">
        <x:v>MO＆CO．/摩安珂</x:v>
      </x:c>
      <x:c r="K701" s="24" t="n">
        <x:v>1355.09</x:v>
      </x:c>
      <x:c r="L701" s="25" t="e">
        <x:f>HYPERLINK("https://item.taobao.com/item.htm?id=979949934604","打开商品")</x:f>
        <x:v>HYPERLINK is not implemented. linkLocation=https://item.taobao.com/item.htm?id=979949934604, friendlyName=打开商品</x:v>
      </x:c>
      <x:c r="M701" s="25" t="e">
        <x:f>HYPERLINK("https://data.zhiyitech.cn/itemDetail/overview/base?itemId=979949934604","打开知衣")</x:f>
        <x:v>HYPERLINK is not implemented. linkLocation=https://data.zhiyitech.cn/itemDetail/overview/base?itemId=979949934604, friendlyName=打开知衣</x:v>
      </x:c>
      <x:c r="N701" s="25" t="e">
        <x:f>HYPERLINK("https://img.alicdn.com/bao/uploaded/i4/581746910/O1CN01LhQZDSOnonL2vH2e-581746910.jpg","查看主图")</x:f>
        <x:v>HYPERLINK is not implemented. linkLocation=https://img.alicdn.com/bao/uploaded/i4/581746910/O1CN01LhQZDSOnonL2vH2e-581746910.jpg, friendlyName=查看主图</x:v>
      </x:c>
      <x:c r="O701" s="9" t="str">
        <x:v>标题及既有类目语义复核；【Nanushka设计师联名】MOCO半身裙双面素皮摩安珂；原类目及标题已能确认半身裙；展示使用已知大类，未知裙长下沉到结构字段，不强猜长短。</x:v>
      </x:c>
      <x:c r="P701" s="9" t="str">
        <x:v>普通男女装</x:v>
      </x:c>
      <x:c r="Q701" s="9" t="str">
        <x:v>W_SKIRTS_AVGPAID_1300_1400_ANNUAL2026.xlsx</x:v>
      </x:c>
      <x:c r="R701" s="9" t="str">
        <x:v>默认</x:v>
      </x:c>
      <x:c r="S701" s="9" t="n">
        <x:v>385</x:v>
      </x:c>
      <x:c r="T701" s="9" t="str">
        <x:v>bd4dae1e08e9eca7ddd0669235bf59107cdc418b9c2898fc16f36a7ab5748692</x:v>
      </x:c>
      <x:c r="U701" s="9" t="str">
        <x:v>W_SKIRTS_AVGPAID_1300_1400_ANNUAL2026</x:v>
      </x:c>
      <x:c r="V701" s="9" t="str">
        <x:v>W_SKIRTS_AVGPAID_1300_1400_ANNUAL2026.xlsx / 默认 / 第385行 / SHA256 bd4dae1e08e9eca7ddd0669235bf59107cdc418b9c2898fc16f36a7ab5748692</x:v>
      </x:c>
    </x:row>
    <x:row r="702" ht="58" customHeight="1">
      <x:c r="A702" s="23" t="str">
        <x:v>1007972656444</x:v>
      </x:c>
      <x:c r="B702" s="22"/>
      <x:c r="C702" s="22"/>
      <x:c r="D702" s="22"/>
      <x:c r="E702" s="9" t="str">
        <x:v>裙长未明确</x:v>
      </x:c>
      <x:c r="F702" s="9" t="str">
        <x:v>裙装</x:v>
      </x:c>
      <x:c r="G702" s="9" t="str">
        <x:v>半身裙</x:v>
      </x:c>
      <x:c r="H702" s="9" t="str">
        <x:v>女</x:v>
      </x:c>
      <x:c r="I702" s="9" t="str">
        <x:v>多片拼接鱼尾优雅气质高腰半身裙</x:v>
      </x:c>
      <x:c r="J702" s="9" t="str">
        <x:v>MRS STUDIOS</x:v>
      </x:c>
      <x:c r="K702" s="24" t="n">
        <x:v>1535.6</x:v>
      </x:c>
      <x:c r="L702" s="25" t="e">
        <x:f>HYPERLINK("https://item.taobao.com/item.htm?id=1007972656444","打开商品")</x:f>
        <x:v>HYPERLINK is not implemented. linkLocation=https://item.taobao.com/item.htm?id=1007972656444, friendlyName=打开商品</x:v>
      </x:c>
      <x:c r="M702" s="25" t="e">
        <x:f>HYPERLINK("https://data.zhiyitech.cn/itemDetail/overview/base?itemId=1007972656444","打开知衣")</x:f>
        <x:v>HYPERLINK is not implemented. linkLocation=https://data.zhiyitech.cn/itemDetail/overview/base?itemId=1007972656444, friendlyName=打开知衣</x:v>
      </x:c>
      <x:c r="N702" s="25" t="e">
        <x:f>HYPERLINK("https://img.alicdn.com/bao/uploaded/i1/472368535/O1CN01LXNdd32Cv5XEUW4nl_!!472368535.jpg","查看主图")</x:f>
        <x:v>HYPERLINK is not implemented. linkLocation=https://img.alicdn.com/bao/uploaded/i1/472368535/O1CN01LXNdd32Cv5XEUW4nl_!!472368535.jpg, friendlyName=查看主图</x:v>
      </x:c>
      <x:c r="O702" s="9" t="str">
        <x:v>标题及既有类目语义复核；多片拼接鱼尾优雅气质高腰半身裙；原类目及标题已能确认半身裙；展示使用已知大类，未知裙长下沉到结构字段，不强猜长短。</x:v>
      </x:c>
      <x:c r="P702" s="9" t="str">
        <x:v>普通男女装</x:v>
      </x:c>
      <x:c r="Q702" s="9" t="str">
        <x:v>W_SKIRTS_AVGPAID_1500_1600_ANNUAL2026.xlsx</x:v>
      </x:c>
      <x:c r="R702" s="9" t="str">
        <x:v>默认</x:v>
      </x:c>
      <x:c r="S702" s="9" t="n">
        <x:v>225</x:v>
      </x:c>
      <x:c r="T702" s="9" t="str">
        <x:v>deede8b56943df4f914be45dba170f12e69064023d6ef0e88dbde1764f6ba23e</x:v>
      </x:c>
      <x:c r="U702" s="9" t="str">
        <x:v>W_SKIRTS_AVGPAID_1500_1600_ANNUAL2026</x:v>
      </x:c>
      <x:c r="V702" s="9" t="str">
        <x:v>W_SKIRTS_AVGPAID_1500_1600_ANNUAL2026.xlsx / 默认 / 第225行 / SHA256 deede8b56943df4f914be45dba170f12e69064023d6ef0e88dbde1764f6ba23e</x:v>
      </x:c>
    </x:row>
    <x:row r="703" ht="58" customHeight="1">
      <x:c r="A703" s="23" t="str">
        <x:v>978140502648</x:v>
      </x:c>
      <x:c r="B703" s="22"/>
      <x:c r="C703" s="22"/>
      <x:c r="D703" s="22"/>
      <x:c r="E703" s="9" t="str">
        <x:v>裙长未明确</x:v>
      </x:c>
      <x:c r="F703" s="9" t="str">
        <x:v>裙装</x:v>
      </x:c>
      <x:c r="G703" s="9" t="str">
        <x:v>半身裙</x:v>
      </x:c>
      <x:c r="H703" s="9" t="str">
        <x:v>女</x:v>
      </x:c>
      <x:c r="I703" s="9" t="str">
        <x:v>MRS Studios 时髦复古chao薄绵羊皮大裙摆开片小羊皮真皮伞裙半裙</x:v>
      </x:c>
      <x:c r="J703" s="9" t="str">
        <x:v>MRS STUDIOS</x:v>
      </x:c>
      <x:c r="K703" s="24" t="n">
        <x:v>1378.93</x:v>
      </x:c>
      <x:c r="L703" s="25" t="e">
        <x:f>HYPERLINK("https://item.taobao.com/item.htm?id=978140502648","打开商品")</x:f>
        <x:v>HYPERLINK is not implemented. linkLocation=https://item.taobao.com/item.htm?id=978140502648, friendlyName=打开商品</x:v>
      </x:c>
      <x:c r="M703" s="25" t="e">
        <x:f>HYPERLINK("https://data.zhiyitech.cn/itemDetail/overview/base?itemId=978140502648","打开知衣")</x:f>
        <x:v>HYPERLINK is not implemented. linkLocation=https://data.zhiyitech.cn/itemDetail/overview/base?itemId=978140502648, friendlyName=打开知衣</x:v>
      </x:c>
      <x:c r="N703" s="25" t="e">
        <x:f>HYPERLINK("https://img.alicdn.com/bao/uploaded/i2/472368535/O1CN01aN5Bqm2Cv5Vu98wPw_!!472368535.jpg","查看主图")</x:f>
        <x:v>HYPERLINK is not implemented. linkLocation=https://img.alicdn.com/bao/uploaded/i2/472368535/O1CN01aN5Bqm2Cv5Vu98wPw_!!472368535.jpg, friendlyName=查看主图</x:v>
      </x:c>
      <x:c r="O703" s="9" t="str">
        <x:v>标题及既有类目语义复核；MRS Studios 时髦复古chao薄绵羊皮大裙摆开片小羊皮真皮伞裙半裙；原类目及标题已能确认半身裙；展示使用已知大类，未知裙长下沉到结构字段，不强猜长短。</x:v>
      </x:c>
      <x:c r="P703" s="9" t="str">
        <x:v>普通男女装</x:v>
      </x:c>
      <x:c r="Q703" s="9" t="str">
        <x:v>W_SKIRTS_AVGPAID_1300_1400_ANNUAL2026.xlsx</x:v>
      </x:c>
      <x:c r="R703" s="9" t="str">
        <x:v>默认</x:v>
      </x:c>
      <x:c r="S703" s="9" t="n">
        <x:v>44</x:v>
      </x:c>
      <x:c r="T703" s="9" t="str">
        <x:v>bd4dae1e08e9eca7ddd0669235bf59107cdc418b9c2898fc16f36a7ab5748692</x:v>
      </x:c>
      <x:c r="U703" s="9" t="str">
        <x:v>W_SKIRTS_AVGPAID_1300_1400_ANNUAL2026</x:v>
      </x:c>
      <x:c r="V703" s="9" t="str">
        <x:v>W_SKIRTS_AVGPAID_1300_1400_ANNUAL2026.xlsx / 默认 / 第44行 / SHA256 bd4dae1e08e9eca7ddd0669235bf59107cdc418b9c2898fc16f36a7ab5748692</x:v>
      </x:c>
    </x:row>
    <x:row r="704" ht="58" customHeight="1">
      <x:c r="A704" s="23" t="str">
        <x:v>575545141816</x:v>
      </x:c>
      <x:c r="B704" s="22"/>
      <x:c r="C704" s="22"/>
      <x:c r="D704" s="22"/>
      <x:c r="E704" s="9" t="str">
        <x:v>裙长未明确</x:v>
      </x:c>
      <x:c r="F704" s="9" t="str">
        <x:v>裙装</x:v>
      </x:c>
      <x:c r="G704" s="9" t="str">
        <x:v>半身裙</x:v>
      </x:c>
      <x:c r="H704" s="9" t="str">
        <x:v>女</x:v>
      </x:c>
      <x:c r="I704" s="9" t="str">
        <x:v>Ms MIN黑色低腰西裤式百褶裙</x:v>
      </x:c>
      <x:c r="J704" s="9" t="str">
        <x:v>MS MIN</x:v>
      </x:c>
      <x:c r="K704" s="24" t="n">
        <x:v>1584.37</x:v>
      </x:c>
      <x:c r="L704" s="25" t="e">
        <x:f>HYPERLINK("https://item.taobao.com/item.htm?id=575545141816","打开商品")</x:f>
        <x:v>HYPERLINK is not implemented. linkLocation=https://item.taobao.com/item.htm?id=575545141816, friendlyName=打开商品</x:v>
      </x:c>
      <x:c r="M704" s="25" t="e">
        <x:f>HYPERLINK("https://data.zhiyitech.cn/itemDetail/overview/base?itemId=575545141816","打开知衣")</x:f>
        <x:v>HYPERLINK is not implemented. linkLocation=https://data.zhiyitech.cn/itemDetail/overview/base?itemId=575545141816, friendlyName=打开知衣</x:v>
      </x:c>
      <x:c r="N704" s="25" t="e">
        <x:f>HYPERLINK("https://img.alicdn.com/bao/uploaded/i2/2777454670/O1CN016otu7g1kMuljaXUIm_!!2777454670.jpg","查看主图")</x:f>
        <x:v>HYPERLINK is not implemented. linkLocation=https://img.alicdn.com/bao/uploaded/i2/2777454670/O1CN016otu7g1kMuljaXUIm_!!2777454670.jpg, friendlyName=查看主图</x:v>
      </x:c>
      <x:c r="O704" s="9" t="str">
        <x:v>标题及既有类目语义复核；Ms MIN黑色低腰西裤式百褶裙；原类目及标题已能确认半身裙；展示使用已知大类，未知裙长下沉到结构字段，不强猜长短。</x:v>
      </x:c>
      <x:c r="P704" s="9" t="str">
        <x:v>普通男女装</x:v>
      </x:c>
      <x:c r="Q704" s="9" t="str">
        <x:v>W_SKIRTS_AVGPAID_1500_1600_ANNUAL2026.xlsx</x:v>
      </x:c>
      <x:c r="R704" s="9" t="str">
        <x:v>默认</x:v>
      </x:c>
      <x:c r="S704" s="9" t="n">
        <x:v>353</x:v>
      </x:c>
      <x:c r="T704" s="9" t="str">
        <x:v>deede8b56943df4f914be45dba170f12e69064023d6ef0e88dbde1764f6ba23e</x:v>
      </x:c>
      <x:c r="U704" s="9" t="str">
        <x:v>W_SKIRTS_AVGPAID_1500_1600_ANNUAL2026</x:v>
      </x:c>
      <x:c r="V704" s="9" t="str">
        <x:v>W_SKIRTS_AVGPAID_1500_1600_ANNUAL2026.xlsx / 默认 / 第353行 / SHA256 deede8b56943df4f914be45dba170f12e69064023d6ef0e88dbde1764f6ba23e</x:v>
      </x:c>
    </x:row>
    <x:row r="705" ht="58" customHeight="1">
      <x:c r="A705" s="23" t="str">
        <x:v>768364080295</x:v>
      </x:c>
      <x:c r="B705" s="22"/>
      <x:c r="C705" s="22"/>
      <x:c r="D705" s="22"/>
      <x:c r="E705" s="9" t="str">
        <x:v>裙长未明确</x:v>
      </x:c>
      <x:c r="F705" s="9" t="str">
        <x:v>裙装</x:v>
      </x:c>
      <x:c r="G705" s="9" t="str">
        <x:v>半身裙</x:v>
      </x:c>
      <x:c r="H705" s="9" t="str">
        <x:v>女</x:v>
      </x:c>
      <x:c r="I705" s="9" t="str">
        <x:v>Ms MIN墨黑开衩极简直身裙</x:v>
      </x:c>
      <x:c r="J705" s="9" t="str">
        <x:v>MS MIN</x:v>
      </x:c>
      <x:c r="K705" s="24" t="n">
        <x:v>1763.88</x:v>
      </x:c>
      <x:c r="L705" s="25" t="e">
        <x:f>HYPERLINK("https://item.taobao.com/item.htm?id=768364080295","打开商品")</x:f>
        <x:v>HYPERLINK is not implemented. linkLocation=https://item.taobao.com/item.htm?id=768364080295, friendlyName=打开商品</x:v>
      </x:c>
      <x:c r="M705" s="25" t="e">
        <x:f>HYPERLINK("https://data.zhiyitech.cn/itemDetail/overview/base?itemId=768364080295","打开知衣")</x:f>
        <x:v>HYPERLINK is not implemented. linkLocation=https://data.zhiyitech.cn/itemDetail/overview/base?itemId=768364080295, friendlyName=打开知衣</x:v>
      </x:c>
      <x:c r="N705" s="25" t="e">
        <x:f>HYPERLINK("https://img.alicdn.com/bao/uploaded/i3/2777454670/O1CN01X9ARAUIYRZF1chua_!!2777454670.jpg","查看主图")</x:f>
        <x:v>HYPERLINK is not implemented. linkLocation=https://img.alicdn.com/bao/uploaded/i3/2777454670/O1CN01X9ARAUIYRZF1chua_!!2777454670.jpg, friendlyName=查看主图</x:v>
      </x:c>
      <x:c r="O705" s="9" t="str">
        <x:v>标题及既有类目语义复核；Ms MIN墨黑开衩极简直身裙；原类目及标题已能确认半身裙；展示使用已知大类，未知裙长下沉到结构字段，不强猜长短。</x:v>
      </x:c>
      <x:c r="P705" s="9" t="str">
        <x:v>普通男女装</x:v>
      </x:c>
      <x:c r="Q705" s="9" t="str">
        <x:v>W_SKIRTS_AVGPAID_1700_1800_ANNUAL2026.xlsx</x:v>
      </x:c>
      <x:c r="R705" s="9" t="str">
        <x:v>默认</x:v>
      </x:c>
      <x:c r="S705" s="9" t="n">
        <x:v>207</x:v>
      </x:c>
      <x:c r="T705" s="9" t="str">
        <x:v>c25ed77c53c7c5cfcf728778a0e9b297d8689503f62756a939cbd534ca9b587a</x:v>
      </x:c>
      <x:c r="U705" s="9" t="str">
        <x:v>W_SKIRTS_AVGPAID_1700_1800_ANNUAL2026</x:v>
      </x:c>
      <x:c r="V705" s="9" t="str">
        <x:v>W_SKIRTS_AVGPAID_1700_1800_ANNUAL2026.xlsx / 默认 / 第207行 / SHA256 c25ed77c53c7c5cfcf728778a0e9b297d8689503f62756a939cbd534ca9b587a</x:v>
      </x:c>
    </x:row>
    <x:row r="706" ht="58" customHeight="1">
      <x:c r="A706" s="23" t="str">
        <x:v>982207867154</x:v>
      </x:c>
      <x:c r="B706" s="22"/>
      <x:c r="C706" s="22"/>
      <x:c r="D706" s="22"/>
      <x:c r="E706" s="9" t="str">
        <x:v>裙长未明确</x:v>
      </x:c>
      <x:c r="F706" s="9" t="str">
        <x:v>裙装</x:v>
      </x:c>
      <x:c r="G706" s="9" t="str">
        <x:v>半身裙</x:v>
      </x:c>
      <x:c r="H706" s="9" t="str">
        <x:v>女</x:v>
      </x:c>
      <x:c r="I706" s="9" t="str">
        <x:v>Ms MIN藏青牛仔高腰铅笔裙</x:v>
      </x:c>
      <x:c r="J706" s="9" t="str">
        <x:v>MS MIN</x:v>
      </x:c>
      <x:c r="K706" s="24" t="n">
        <x:v>1545.85</x:v>
      </x:c>
      <x:c r="L706" s="25" t="e">
        <x:f>HYPERLINK("https://item.taobao.com/item.htm?id=982207867154","打开商品")</x:f>
        <x:v>HYPERLINK is not implemented. linkLocation=https://item.taobao.com/item.htm?id=982207867154, friendlyName=打开商品</x:v>
      </x:c>
      <x:c r="M706" s="25" t="e">
        <x:f>HYPERLINK("https://data.zhiyitech.cn/itemDetail/overview/base?itemId=982207867154","打开知衣")</x:f>
        <x:v>HYPERLINK is not implemented. linkLocation=https://data.zhiyitech.cn/itemDetail/overview/base?itemId=982207867154, friendlyName=打开知衣</x:v>
      </x:c>
      <x:c r="N706" s="25" t="e">
        <x:f>HYPERLINK("https://img.alicdn.com/bao/uploaded/i1/2777454670/O1CN01JQiqz5RH27C2vH2e_!!2777454670.jpg","查看主图")</x:f>
        <x:v>HYPERLINK is not implemented. linkLocation=https://img.alicdn.com/bao/uploaded/i1/2777454670/O1CN01JQiqz5RH27C2vH2e_!!2777454670.jpg, friendlyName=查看主图</x:v>
      </x:c>
      <x:c r="O706" s="9" t="str">
        <x:v>标题及既有类目语义复核；Ms MIN藏青牛仔高腰铅笔裙；原类目及标题已能确认半身裙；展示使用已知大类，未知裙长下沉到结构字段，不强猜长短。</x:v>
      </x:c>
      <x:c r="P706" s="9" t="str">
        <x:v>普通男女装</x:v>
      </x:c>
      <x:c r="Q706" s="9" t="str">
        <x:v>W_SKIRTS_AVGPAID_1500_1600_ANNUAL2026.xlsx</x:v>
      </x:c>
      <x:c r="R706" s="9" t="str">
        <x:v>默认</x:v>
      </x:c>
      <x:c r="S706" s="9" t="n">
        <x:v>219</x:v>
      </x:c>
      <x:c r="T706" s="9" t="str">
        <x:v>deede8b56943df4f914be45dba170f12e69064023d6ef0e88dbde1764f6ba23e</x:v>
      </x:c>
      <x:c r="U706" s="9" t="str">
        <x:v>W_SKIRTS_AVGPAID_1500_1600_ANNUAL2026</x:v>
      </x:c>
      <x:c r="V706" s="9" t="str">
        <x:v>W_SKIRTS_AVGPAID_1500_1600_ANNUAL2026.xlsx / 默认 / 第219行 / SHA256 deede8b56943df4f914be45dba170f12e69064023d6ef0e88dbde1764f6ba23e</x:v>
      </x:c>
    </x:row>
    <x:row r="707" ht="58" customHeight="1">
      <x:c r="A707" s="23" t="str">
        <x:v>1060492550787</x:v>
      </x:c>
      <x:c r="B707" s="22"/>
      <x:c r="C707" s="22"/>
      <x:c r="D707" s="22"/>
      <x:c r="E707" s="9" t="str">
        <x:v>裙长未明确</x:v>
      </x:c>
      <x:c r="F707" s="9" t="str">
        <x:v>裙装</x:v>
      </x:c>
      <x:c r="G707" s="9" t="str">
        <x:v>半身裙</x:v>
      </x:c>
      <x:c r="H707" s="9" t="str">
        <x:v>女</x:v>
      </x:c>
      <x:c r="I707" s="9" t="str">
        <x:v>MUR BLANC 黑色多层荷叶边真丝氧气感半身裙</x:v>
      </x:c>
      <x:c r="J707" s="9" t="str">
        <x:v>MUR BLANC</x:v>
      </x:c>
      <x:c r="K707" s="24" t="n">
        <x:v>1366.08</x:v>
      </x:c>
      <x:c r="L707" s="25" t="e">
        <x:f>HYPERLINK("https://item.taobao.com/item.htm?id=1060492550787","打开商品")</x:f>
        <x:v>HYPERLINK is not implemented. linkLocation=https://item.taobao.com/item.htm?id=1060492550787, friendlyName=打开商品</x:v>
      </x:c>
      <x:c r="M707" s="25" t="e">
        <x:f>HYPERLINK("https://data.zhiyitech.cn/itemDetail/overview/base?itemId=1060492550787","打开知衣")</x:f>
        <x:v>HYPERLINK is not implemented. linkLocation=https://data.zhiyitech.cn/itemDetail/overview/base?itemId=1060492550787, friendlyName=打开知衣</x:v>
      </x:c>
      <x:c r="N707" s="25" t="e">
        <x:f>HYPERLINK("https://img.alicdn.com/bao/uploaded/i2/2237841416/O1CN0194gYaoH0DpL2R3rs_!!2237841416.jpg","查看主图")</x:f>
        <x:v>HYPERLINK is not implemented. linkLocation=https://img.alicdn.com/bao/uploaded/i2/2237841416/O1CN0194gYaoH0DpL2R3rs_!!2237841416.jpg, friendlyName=查看主图</x:v>
      </x:c>
      <x:c r="O707" s="9" t="str">
        <x:v>标题及既有类目语义复核；MUR BLANC 黑色多层荷叶边真丝氧气感半身裙；原类目及标题已能确认半身裙；展示使用已知大类，未知裙长下沉到结构字段，不强猜长短。</x:v>
      </x:c>
      <x:c r="P707" s="9" t="str">
        <x:v>普通男女装</x:v>
      </x:c>
      <x:c r="Q707" s="9" t="str">
        <x:v>W_SKIRTS_AVGPAID_1300_1400_ANNUAL2026.xlsx</x:v>
      </x:c>
      <x:c r="R707" s="9" t="str">
        <x:v>默认</x:v>
      </x:c>
      <x:c r="S707" s="9" t="n">
        <x:v>468</x:v>
      </x:c>
      <x:c r="T707" s="9" t="str">
        <x:v>bd4dae1e08e9eca7ddd0669235bf59107cdc418b9c2898fc16f36a7ab5748692</x:v>
      </x:c>
      <x:c r="U707" s="9" t="str">
        <x:v>W_SKIRTS_AVGPAID_1300_1400_ANNUAL2026</x:v>
      </x:c>
      <x:c r="V707" s="9" t="str">
        <x:v>W_SKIRTS_AVGPAID_1300_1400_ANNUAL2026.xlsx / 默认 / 第468行 / SHA256 bd4dae1e08e9eca7ddd0669235bf59107cdc418b9c2898fc16f36a7ab5748692</x:v>
      </x:c>
    </x:row>
    <x:row r="708" ht="58" customHeight="1">
      <x:c r="A708" s="23" t="str">
        <x:v>989975839274</x:v>
      </x:c>
      <x:c r="B708" s="22"/>
      <x:c r="C708" s="22"/>
      <x:c r="D708" s="22"/>
      <x:c r="E708" s="9" t="str">
        <x:v>裙长未明确</x:v>
      </x:c>
      <x:c r="F708" s="9" t="str">
        <x:v>裙装</x:v>
      </x:c>
      <x:c r="G708" s="9" t="str">
        <x:v>半身裙</x:v>
      </x:c>
      <x:c r="H708" s="9" t="str">
        <x:v>女</x:v>
      </x:c>
      <x:c r="I708" s="9" t="str">
        <x:v>MUR BLANC 藏青色多层压皱真丝纱氧气感高腰长半裙</x:v>
      </x:c>
      <x:c r="J708" s="9" t="str">
        <x:v>MUR BLANC</x:v>
      </x:c>
      <x:c r="K708" s="24" t="n">
        <x:v>1566.51</x:v>
      </x:c>
      <x:c r="L708" s="25" t="e">
        <x:f>HYPERLINK("https://item.taobao.com/item.htm?id=989975839274","打开商品")</x:f>
        <x:v>HYPERLINK is not implemented. linkLocation=https://item.taobao.com/item.htm?id=989975839274, friendlyName=打开商品</x:v>
      </x:c>
      <x:c r="M708" s="25" t="e">
        <x:f>HYPERLINK("https://data.zhiyitech.cn/itemDetail/overview/base?itemId=989975839274","打开知衣")</x:f>
        <x:v>HYPERLINK is not implemented. linkLocation=https://data.zhiyitech.cn/itemDetail/overview/base?itemId=989975839274, friendlyName=打开知衣</x:v>
      </x:c>
      <x:c r="N708" s="25" t="e">
        <x:f>HYPERLINK("https://img.alicdn.com/bao/uploaded/i3/2237841416/O1CN01voIwPO1MKZvlbkUX7_!!2237841416.jpg","查看主图")</x:f>
        <x:v>HYPERLINK is not implemented. linkLocation=https://img.alicdn.com/bao/uploaded/i3/2237841416/O1CN01voIwPO1MKZvlbkUX7_!!2237841416.jpg, friendlyName=查看主图</x:v>
      </x:c>
      <x:c r="O708" s="9" t="str">
        <x:v>标题及既有类目语义复核；MUR BLANC 藏青色多层压皱真丝纱氧气感高腰长半裙；原类目及标题已能确认半身裙；展示使用已知大类，未知裙长下沉到结构字段，不强猜长短。</x:v>
      </x:c>
      <x:c r="P708" s="9" t="str">
        <x:v>普通男女装</x:v>
      </x:c>
      <x:c r="Q708" s="9" t="str">
        <x:v>W_SKIRTS_AVGPAID_1500_1600_ANNUAL2026.xlsx</x:v>
      </x:c>
      <x:c r="R708" s="9" t="str">
        <x:v>默认</x:v>
      </x:c>
      <x:c r="S708" s="9" t="n">
        <x:v>479</x:v>
      </x:c>
      <x:c r="T708" s="9" t="str">
        <x:v>deede8b56943df4f914be45dba170f12e69064023d6ef0e88dbde1764f6ba23e</x:v>
      </x:c>
      <x:c r="U708" s="9" t="str">
        <x:v>W_SKIRTS_AVGPAID_1500_1600_ANNUAL2026</x:v>
      </x:c>
      <x:c r="V708" s="9" t="str">
        <x:v>W_SKIRTS_AVGPAID_1500_1600_ANNUAL2026.xlsx / 默认 / 第479行 / SHA256 deede8b56943df4f914be45dba170f12e69064023d6ef0e88dbde1764f6ba23e</x:v>
      </x:c>
    </x:row>
    <x:row r="709" ht="58" customHeight="1">
      <x:c r="A709" s="23" t="str">
        <x:v>1020149455678</x:v>
      </x:c>
      <x:c r="B709" s="22"/>
      <x:c r="C709" s="22"/>
      <x:c r="D709" s="22"/>
      <x:c r="E709" s="9" t="str">
        <x:v>裙长未明确</x:v>
      </x:c>
      <x:c r="F709" s="9" t="str">
        <x:v>裙装</x:v>
      </x:c>
      <x:c r="G709" s="9" t="str">
        <x:v>半身裙</x:v>
      </x:c>
      <x:c r="H709" s="9" t="str">
        <x:v>女</x:v>
      </x:c>
      <x:c r="I709" s="9" t="str">
        <x:v>Mutedance 26春夏 抽绳绑带半身裙</x:v>
      </x:c>
      <x:c r="J709" s="9" t="str">
        <x:v>MUTEDANCE</x:v>
      </x:c>
      <x:c r="K709" s="24" t="n">
        <x:v>1767.6</x:v>
      </x:c>
      <x:c r="L709" s="25" t="e">
        <x:f>HYPERLINK("https://item.taobao.com/item.htm?id=1020149455678","打开商品")</x:f>
        <x:v>HYPERLINK is not implemented. linkLocation=https://item.taobao.com/item.htm?id=1020149455678, friendlyName=打开商品</x:v>
      </x:c>
      <x:c r="M709" s="25" t="e">
        <x:f>HYPERLINK("https://data.zhiyitech.cn/itemDetail/overview/base?itemId=1020149455678","打开知衣")</x:f>
        <x:v>HYPERLINK is not implemented. linkLocation=https://data.zhiyitech.cn/itemDetail/overview/base?itemId=1020149455678, friendlyName=打开知衣</x:v>
      </x:c>
      <x:c r="N709" s="25" t="e">
        <x:f>HYPERLINK("https://img.alicdn.com/bao/uploaded/i3/143492895/O1CN01KVAbDU1XFxjXVuDsD_!!143492895.jpg","查看主图")</x:f>
        <x:v>HYPERLINK is not implemented. linkLocation=https://img.alicdn.com/bao/uploaded/i3/143492895/O1CN01KVAbDU1XFxjXVuDsD_!!143492895.jpg, friendlyName=查看主图</x:v>
      </x:c>
      <x:c r="O709" s="9" t="str">
        <x:v>标题及既有类目语义复核；Mutedance 26春夏 抽绳绑带半身裙；原类目及标题已能确认半身裙；展示使用已知大类，未知裙长下沉到结构字段，不强猜长短。</x:v>
      </x:c>
      <x:c r="P709" s="9" t="str">
        <x:v>普通男女装</x:v>
      </x:c>
      <x:c r="Q709" s="9" t="str">
        <x:v>W_SKIRTS_AVGPAID_1700_1800_ANNUAL2026.xlsx</x:v>
      </x:c>
      <x:c r="R709" s="9" t="str">
        <x:v>默认</x:v>
      </x:c>
      <x:c r="S709" s="9" t="n">
        <x:v>368</x:v>
      </x:c>
      <x:c r="T709" s="9" t="str">
        <x:v>c25ed77c53c7c5cfcf728778a0e9b297d8689503f62756a939cbd534ca9b587a</x:v>
      </x:c>
      <x:c r="U709" s="9" t="str">
        <x:v>W_SKIRTS_AVGPAID_1700_1800_ANNUAL2026</x:v>
      </x:c>
      <x:c r="V709" s="9" t="str">
        <x:v>W_SKIRTS_AVGPAID_1700_1800_ANNUAL2026.xlsx / 默认 / 第368行 / SHA256 c25ed77c53c7c5cfcf728778a0e9b297d8689503f62756a939cbd534ca9b587a</x:v>
      </x:c>
    </x:row>
    <x:row r="710" ht="58" customHeight="1">
      <x:c r="A710" s="23" t="str">
        <x:v>1009292663874</x:v>
      </x:c>
      <x:c r="B710" s="22"/>
      <x:c r="C710" s="22"/>
      <x:c r="D710" s="22"/>
      <x:c r="E710" s="9" t="str">
        <x:v>裙长未明确</x:v>
      </x:c>
      <x:c r="F710" s="9" t="str">
        <x:v>裙装</x:v>
      </x:c>
      <x:c r="G710" s="9" t="str">
        <x:v>半身裙</x:v>
      </x:c>
      <x:c r="H710" s="9" t="str">
        <x:v>女</x:v>
      </x:c>
      <x:c r="I710" s="9" t="str">
        <x:v>「绵羊毛」NAERSI娜尔思A型褶裙简约剪裁显瘦半身裙26年春季新款</x:v>
      </x:c>
      <x:c r="J710" s="9" t="str">
        <x:v>NAERSI/娜尔思</x:v>
      </x:c>
      <x:c r="K710" s="24" t="n">
        <x:v>1520.76</x:v>
      </x:c>
      <x:c r="L710" s="25" t="e">
        <x:f>HYPERLINK("https://item.taobao.com/item.htm?id=1009292663874","打开商品")</x:f>
        <x:v>HYPERLINK is not implemented. linkLocation=https://item.taobao.com/item.htm?id=1009292663874, friendlyName=打开商品</x:v>
      </x:c>
      <x:c r="M710" s="25" t="e">
        <x:f>HYPERLINK("https://data.zhiyitech.cn/itemDetail/overview/base?itemId=1009292663874","打开知衣")</x:f>
        <x:v>HYPERLINK is not implemented. linkLocation=https://data.zhiyitech.cn/itemDetail/overview/base?itemId=1009292663874, friendlyName=打开知衣</x:v>
      </x:c>
      <x:c r="N710" s="25" t="e">
        <x:f>HYPERLINK("https://img.alicdn.com/bao/uploaded/i3/776306446/O1CN01HqUtj5aHkXK1chua_!!776306446.jpg","查看主图")</x:f>
        <x:v>HYPERLINK is not implemented. linkLocation=https://img.alicdn.com/bao/uploaded/i3/776306446/O1CN01HqUtj5aHkXK1chua_!!776306446.jpg, friendlyName=查看主图</x:v>
      </x:c>
      <x:c r="O710" s="9" t="str">
        <x:v>标题及既有类目语义复核；「绵羊毛」NAERSI娜尔思A型褶裙简约剪裁显瘦半身裙26年春季新款；原类目及标题已能确认半身裙；展示使用已知大类，未知裙长下沉到结构字段，不强猜长短。</x:v>
      </x:c>
      <x:c r="P710" s="9" t="str">
        <x:v>普通男女装</x:v>
      </x:c>
      <x:c r="Q710" s="9" t="str">
        <x:v>W_SKIRTS_AVGPAID_1500_1600_ANNUAL2026.xlsx</x:v>
      </x:c>
      <x:c r="R710" s="9" t="str">
        <x:v>默认</x:v>
      </x:c>
      <x:c r="S710" s="9" t="n">
        <x:v>324</x:v>
      </x:c>
      <x:c r="T710" s="9" t="str">
        <x:v>deede8b56943df4f914be45dba170f12e69064023d6ef0e88dbde1764f6ba23e</x:v>
      </x:c>
      <x:c r="U710" s="9" t="str">
        <x:v>W_SKIRTS_AVGPAID_1500_1600_ANNUAL2026</x:v>
      </x:c>
      <x:c r="V710" s="9" t="str">
        <x:v>W_SKIRTS_AVGPAID_1500_1600_ANNUAL2026.xlsx / 默认 / 第324行 / SHA256 deede8b56943df4f914be45dba170f12e69064023d6ef0e88dbde1764f6ba23e</x:v>
      </x:c>
    </x:row>
    <x:row r="711" ht="58" customHeight="1">
      <x:c r="A711" s="23" t="str">
        <x:v>1016128323651</x:v>
      </x:c>
      <x:c r="B711" s="22"/>
      <x:c r="C711" s="22"/>
      <x:c r="D711" s="22"/>
      <x:c r="E711" s="9" t="str">
        <x:v>裙长未明确</x:v>
      </x:c>
      <x:c r="F711" s="9" t="str">
        <x:v>裙装</x:v>
      </x:c>
      <x:c r="G711" s="9" t="str">
        <x:v>半身裙</x:v>
      </x:c>
      <x:c r="H711" s="9" t="str">
        <x:v>女</x:v>
      </x:c>
      <x:c r="I711" s="9" t="str">
        <x:v>NAERSI娜尔思细斜纹清爽透气高腰A字半身裙26年春季新款</x:v>
      </x:c>
      <x:c r="J711" s="9" t="str">
        <x:v>NAERSI/娜尔思</x:v>
      </x:c>
      <x:c r="K711" s="24" t="n">
        <x:v>1756.7</x:v>
      </x:c>
      <x:c r="L711" s="25" t="e">
        <x:f>HYPERLINK("https://item.taobao.com/item.htm?id=1016128323651","打开商品")</x:f>
        <x:v>HYPERLINK is not implemented. linkLocation=https://item.taobao.com/item.htm?id=1016128323651, friendlyName=打开商品</x:v>
      </x:c>
      <x:c r="M711" s="25" t="e">
        <x:f>HYPERLINK("https://data.zhiyitech.cn/itemDetail/overview/base?itemId=1016128323651","打开知衣")</x:f>
        <x:v>HYPERLINK is not implemented. linkLocation=https://data.zhiyitech.cn/itemDetail/overview/base?itemId=1016128323651, friendlyName=打开知衣</x:v>
      </x:c>
      <x:c r="N711" s="25" t="e">
        <x:f>HYPERLINK("https://img.alicdn.com/bao/uploaded/i1/776306446/O1CN01ACSnuk1xUKBPwgVMd_!!4611686018427387662-0-item_pic.jpg","查看主图")</x:f>
        <x:v>HYPERLINK is not implemented. linkLocation=https://img.alicdn.com/bao/uploaded/i1/776306446/O1CN01ACSnuk1xUKBPwgVMd_!!4611686018427387662-0-item_pic.jpg, friendlyName=查看主图</x:v>
      </x:c>
      <x:c r="O711" s="9" t="str">
        <x:v>标题及既有类目语义复核；NAERSI娜尔思细斜纹清爽透气高腰A字半身裙26年春季新款；原类目及标题已能确认半身裙；展示使用已知大类，未知裙长下沉到结构字段，不强猜长短。</x:v>
      </x:c>
      <x:c r="P711" s="9" t="str">
        <x:v>普通男女装</x:v>
      </x:c>
      <x:c r="Q711" s="9" t="str">
        <x:v>W_SKIRTS_AVGPAID_1700_1800_ANNUAL2026.xlsx</x:v>
      </x:c>
      <x:c r="R711" s="9" t="str">
        <x:v>默认</x:v>
      </x:c>
      <x:c r="S711" s="9" t="n">
        <x:v>431</x:v>
      </x:c>
      <x:c r="T711" s="9" t="str">
        <x:v>c25ed77c53c7c5cfcf728778a0e9b297d8689503f62756a939cbd534ca9b587a</x:v>
      </x:c>
      <x:c r="U711" s="9" t="str">
        <x:v>W_SKIRTS_AVGPAID_1700_1800_ANNUAL2026</x:v>
      </x:c>
      <x:c r="V711" s="9" t="str">
        <x:v>W_SKIRTS_AVGPAID_1700_1800_ANNUAL2026.xlsx / 默认 / 第431行 / SHA256 c25ed77c53c7c5cfcf728778a0e9b297d8689503f62756a939cbd534ca9b587a</x:v>
      </x:c>
    </x:row>
    <x:row r="712" ht="58" customHeight="1">
      <x:c r="A712" s="23" t="str">
        <x:v>1044361877109</x:v>
      </x:c>
      <x:c r="B712" s="22"/>
      <x:c r="C712" s="22"/>
      <x:c r="D712" s="22"/>
      <x:c r="E712" s="9" t="str">
        <x:v>裙长未明确</x:v>
      </x:c>
      <x:c r="F712" s="9" t="str">
        <x:v>裙装</x:v>
      </x:c>
      <x:c r="G712" s="9" t="str">
        <x:v>半身裙</x:v>
      </x:c>
      <x:c r="H712" s="9" t="str">
        <x:v>女</x:v>
      </x:c>
      <x:c r="I712" s="9" t="str">
        <x:v>「醋酸」NAERSI娜尔思A字鱼尾摆版型叠透舒爽半身裙26年夏季新款</x:v>
      </x:c>
      <x:c r="J712" s="9" t="str">
        <x:v>NAERSI/娜尔思</x:v>
      </x:c>
      <x:c r="K712" s="24" t="n">
        <x:v>1718.98</x:v>
      </x:c>
      <x:c r="L712" s="25" t="e">
        <x:f>HYPERLINK("https://item.taobao.com/item.htm?id=1044361877109","打开商品")</x:f>
        <x:v>HYPERLINK is not implemented. linkLocation=https://item.taobao.com/item.htm?id=1044361877109, friendlyName=打开商品</x:v>
      </x:c>
      <x:c r="M712" s="25" t="e">
        <x:f>HYPERLINK("https://data.zhiyitech.cn/itemDetail/overview/base?itemId=1044361877109","打开知衣")</x:f>
        <x:v>HYPERLINK is not implemented. linkLocation=https://data.zhiyitech.cn/itemDetail/overview/base?itemId=1044361877109, friendlyName=打开知衣</x:v>
      </x:c>
      <x:c r="N712" s="25" t="e">
        <x:f>HYPERLINK("https://img.alicdn.com/bao/uploaded/i1/776306446/O1CN01hHDc8G4yaNH1chua_!!776306446.jpg","查看主图")</x:f>
        <x:v>HYPERLINK is not implemented. linkLocation=https://img.alicdn.com/bao/uploaded/i1/776306446/O1CN01hHDc8G4yaNH1chua_!!776306446.jpg, friendlyName=查看主图</x:v>
      </x:c>
      <x:c r="O712" s="9" t="str">
        <x:v>标题及既有类目语义复核；「醋酸」NAERSI娜尔思A字鱼尾摆版型叠透舒爽半身裙26年夏季新款；原类目及标题已能确认半身裙；展示使用已知大类，未知裙长下沉到结构字段，不强猜长短。</x:v>
      </x:c>
      <x:c r="P712" s="9" t="str">
        <x:v>普通男女装</x:v>
      </x:c>
      <x:c r="Q712" s="9" t="str">
        <x:v>W_SKIRTS_AVGPAID_1700_1800_ANNUAL2026.xlsx</x:v>
      </x:c>
      <x:c r="R712" s="9" t="str">
        <x:v>默认</x:v>
      </x:c>
      <x:c r="S712" s="9" t="n">
        <x:v>311</x:v>
      </x:c>
      <x:c r="T712" s="9" t="str">
        <x:v>c25ed77c53c7c5cfcf728778a0e9b297d8689503f62756a939cbd534ca9b587a</x:v>
      </x:c>
      <x:c r="U712" s="9" t="str">
        <x:v>W_SKIRTS_AVGPAID_1700_1800_ANNUAL2026</x:v>
      </x:c>
      <x:c r="V712" s="9" t="str">
        <x:v>W_SKIRTS_AVGPAID_1700_1800_ANNUAL2026.xlsx / 默认 / 第311行 / SHA256 c25ed77c53c7c5cfcf728778a0e9b297d8689503f62756a939cbd534ca9b587a</x:v>
      </x:c>
    </x:row>
    <x:row r="713" ht="58" customHeight="1">
      <x:c r="A713" s="23" t="str">
        <x:v>1047808548421</x:v>
      </x:c>
      <x:c r="B713" s="22"/>
      <x:c r="C713" s="22"/>
      <x:c r="D713" s="22"/>
      <x:c r="E713" s="9" t="str">
        <x:v>裙长未明确</x:v>
      </x:c>
      <x:c r="F713" s="9" t="str">
        <x:v>裙装</x:v>
      </x:c>
      <x:c r="G713" s="9" t="str">
        <x:v>半身裙</x:v>
      </x:c>
      <x:c r="H713" s="9" t="str">
        <x:v>女</x:v>
      </x:c>
      <x:c r="I713" s="9" t="str">
        <x:v>NAERSI娜尔思显瘦密边车条工艺珠链织带半身裙2026年夏季新款裙子</x:v>
      </x:c>
      <x:c r="J713" s="9" t="str">
        <x:v>NAERSI/娜尔思</x:v>
      </x:c>
      <x:c r="K713" s="24" t="n">
        <x:v>1505.99</x:v>
      </x:c>
      <x:c r="L713" s="25" t="e">
        <x:f>HYPERLINK("https://item.taobao.com/item.htm?id=1047808548421","打开商品")</x:f>
        <x:v>HYPERLINK is not implemented. linkLocation=https://item.taobao.com/item.htm?id=1047808548421, friendlyName=打开商品</x:v>
      </x:c>
      <x:c r="M713" s="25" t="e">
        <x:f>HYPERLINK("https://data.zhiyitech.cn/itemDetail/overview/base?itemId=1047808548421","打开知衣")</x:f>
        <x:v>HYPERLINK is not implemented. linkLocation=https://data.zhiyitech.cn/itemDetail/overview/base?itemId=1047808548421, friendlyName=打开知衣</x:v>
      </x:c>
      <x:c r="N713" s="25" t="e">
        <x:f>HYPERLINK("https://img.alicdn.com/bao/uploaded/i2/776306446/O1CN01VNumK2f3IUK1chua_!!776306446.jpg","查看主图")</x:f>
        <x:v>HYPERLINK is not implemented. linkLocation=https://img.alicdn.com/bao/uploaded/i2/776306446/O1CN01VNumK2f3IUK1chua_!!776306446.jpg, friendlyName=查看主图</x:v>
      </x:c>
      <x:c r="O713" s="9" t="str">
        <x:v>标题及既有类目语义复核；NAERSI娜尔思显瘦密边车条工艺珠链织带半身裙2026年夏季新款裙子；原类目及标题已能确认半身裙；展示使用已知大类，未知裙长下沉到结构字段，不强猜长短。</x:v>
      </x:c>
      <x:c r="P713" s="9" t="str">
        <x:v>普通男女装</x:v>
      </x:c>
      <x:c r="Q713" s="9" t="str">
        <x:v>W_SKIRTS_AVGPAID_1500_1600_ANNUAL2026.xlsx</x:v>
      </x:c>
      <x:c r="R713" s="9" t="str">
        <x:v>默认</x:v>
      </x:c>
      <x:c r="S713" s="9" t="n">
        <x:v>434</x:v>
      </x:c>
      <x:c r="T713" s="9" t="str">
        <x:v>deede8b56943df4f914be45dba170f12e69064023d6ef0e88dbde1764f6ba23e</x:v>
      </x:c>
      <x:c r="U713" s="9" t="str">
        <x:v>W_SKIRTS_AVGPAID_1500_1600_ANNUAL2026</x:v>
      </x:c>
      <x:c r="V713" s="9" t="str">
        <x:v>W_SKIRTS_AVGPAID_1500_1600_ANNUAL2026.xlsx / 默认 / 第434行 / SHA256 deede8b56943df4f914be45dba170f12e69064023d6ef0e88dbde1764f6ba23e</x:v>
      </x:c>
    </x:row>
    <x:row r="714" ht="58" customHeight="1">
      <x:c r="A714" s="23" t="str">
        <x:v>976163788706</x:v>
      </x:c>
      <x:c r="B714" s="22"/>
      <x:c r="C714" s="22"/>
      <x:c r="D714" s="22"/>
      <x:c r="E714" s="9" t="str">
        <x:v>裙长未明确</x:v>
      </x:c>
      <x:c r="F714" s="9" t="str">
        <x:v>裙装</x:v>
      </x:c>
      <x:c r="G714" s="9" t="str">
        <x:v>半身裙</x:v>
      </x:c>
      <x:c r="H714" s="9" t="str">
        <x:v>女</x:v>
      </x:c>
      <x:c r="I714" s="9" t="str">
        <x:v>【秀场同款】NAERSI娜尔思绵羊毛半裙2026年秋季新款（配腰带）</x:v>
      </x:c>
      <x:c r="J714" s="9" t="str">
        <x:v>NAERSI/娜尔思</x:v>
      </x:c>
      <x:c r="K714" s="24" t="n">
        <x:v>1785.96</x:v>
      </x:c>
      <x:c r="L714" s="25" t="e">
        <x:f>HYPERLINK("https://item.taobao.com/item.htm?id=976163788706","打开商品")</x:f>
        <x:v>HYPERLINK is not implemented. linkLocation=https://item.taobao.com/item.htm?id=976163788706, friendlyName=打开商品</x:v>
      </x:c>
      <x:c r="M714" s="25" t="e">
        <x:f>HYPERLINK("https://data.zhiyitech.cn/itemDetail/overview/base?itemId=976163788706","打开知衣")</x:f>
        <x:v>HYPERLINK is not implemented. linkLocation=https://data.zhiyitech.cn/itemDetail/overview/base?itemId=976163788706, friendlyName=打开知衣</x:v>
      </x:c>
      <x:c r="N714" s="25" t="e">
        <x:f>HYPERLINK("https://img.alicdn.com/bao/uploaded/i1/776306446/O1CN01LpbfqlIzgaL1chua_!!4611686018427387662-0-item_pic.jpg","查看主图")</x:f>
        <x:v>HYPERLINK is not implemented. linkLocation=https://img.alicdn.com/bao/uploaded/i1/776306446/O1CN01LpbfqlIzgaL1chua_!!4611686018427387662-0-item_pic.jpg, friendlyName=查看主图</x:v>
      </x:c>
      <x:c r="O714" s="9" t="str">
        <x:v>标题及既有类目语义复核；【秀场同款】NAERSI娜尔思绵羊毛半裙2026年秋季新款（配腰带）；原类目及标题已能确认半身裙；展示使用已知大类，未知裙长下沉到结构字段，不强猜长短。</x:v>
      </x:c>
      <x:c r="P714" s="9" t="str">
        <x:v>普通男女装</x:v>
      </x:c>
      <x:c r="Q714" s="9" t="str">
        <x:v>W_SKIRTS_AVGPAID_1700_1800_ANNUAL2026.xlsx</x:v>
      </x:c>
      <x:c r="R714" s="9" t="str">
        <x:v>默认</x:v>
      </x:c>
      <x:c r="S714" s="9" t="n">
        <x:v>394</x:v>
      </x:c>
      <x:c r="T714" s="9" t="str">
        <x:v>c25ed77c53c7c5cfcf728778a0e9b297d8689503f62756a939cbd534ca9b587a</x:v>
      </x:c>
      <x:c r="U714" s="9" t="str">
        <x:v>W_SKIRTS_AVGPAID_1700_1800_ANNUAL2026</x:v>
      </x:c>
      <x:c r="V714" s="9" t="str">
        <x:v>W_SKIRTS_AVGPAID_1700_1800_ANNUAL2026.xlsx / 默认 / 第394行 / SHA256 c25ed77c53c7c5cfcf728778a0e9b297d8689503f62756a939cbd534ca9b587a</x:v>
      </x:c>
    </x:row>
    <x:row r="715" ht="58" customHeight="1">
      <x:c r="A715" s="23" t="str">
        <x:v>926208082882</x:v>
      </x:c>
      <x:c r="B715" s="22"/>
      <x:c r="C715" s="22"/>
      <x:c r="D715" s="22"/>
      <x:c r="E715" s="9" t="str">
        <x:v>裙长未明确</x:v>
      </x:c>
      <x:c r="F715" s="9" t="str">
        <x:v>裙装</x:v>
      </x:c>
      <x:c r="G715" s="9" t="str">
        <x:v>半身裙</x:v>
      </x:c>
      <x:c r="H715" s="9" t="str">
        <x:v>女</x:v>
      </x:c>
      <x:c r="I715" s="9" t="str">
        <x:v>Nana Jacqueline弹力牛仔半裙</x:v>
      </x:c>
      <x:c r="J715" s="9" t="str">
        <x:v>NANA JACQUELINE</x:v>
      </x:c>
      <x:c r="K715" s="24" t="n">
        <x:v>1399.6</x:v>
      </x:c>
      <x:c r="L715" s="25" t="e">
        <x:f>HYPERLINK("https://item.taobao.com/item.htm?id=926208082882","打开商品")</x:f>
        <x:v>HYPERLINK is not implemented. linkLocation=https://item.taobao.com/item.htm?id=926208082882, friendlyName=打开商品</x:v>
      </x:c>
      <x:c r="M715" s="25" t="e">
        <x:f>HYPERLINK("https://data.zhiyitech.cn/itemDetail/overview/base?itemId=926208082882","打开知衣")</x:f>
        <x:v>HYPERLINK is not implemented. linkLocation=https://data.zhiyitech.cn/itemDetail/overview/base?itemId=926208082882, friendlyName=打开知衣</x:v>
      </x:c>
      <x:c r="N715" s="25" t="e">
        <x:f>HYPERLINK("https://img.alicdn.com/bao/uploaded/i1/2208297298892/O1CN01Wl68402FYaxty6Col_!!2208297298892.jpg","查看主图")</x:f>
        <x:v>HYPERLINK is not implemented. linkLocation=https://img.alicdn.com/bao/uploaded/i1/2208297298892/O1CN01Wl68402FYaxty6Col_!!2208297298892.jpg, friendlyName=查看主图</x:v>
      </x:c>
      <x:c r="O715" s="9" t="str">
        <x:v>标题及既有类目语义复核；Nana Jacqueline弹力牛仔半裙；原类目及标题已能确认半身裙；展示使用已知大类，未知裙长下沉到结构字段，不强猜长短。</x:v>
      </x:c>
      <x:c r="P715" s="9" t="str">
        <x:v>普通男女装</x:v>
      </x:c>
      <x:c r="Q715" s="9" t="str">
        <x:v>W_SKIRTS_AVGPAID_1300_1400_ANNUAL2026.xlsx</x:v>
      </x:c>
      <x:c r="R715" s="9" t="str">
        <x:v>默认</x:v>
      </x:c>
      <x:c r="S715" s="9" t="n">
        <x:v>277</x:v>
      </x:c>
      <x:c r="T715" s="9" t="str">
        <x:v>bd4dae1e08e9eca7ddd0669235bf59107cdc418b9c2898fc16f36a7ab5748692</x:v>
      </x:c>
      <x:c r="U715" s="9" t="str">
        <x:v>W_SKIRTS_AVGPAID_1300_1400_ANNUAL2026</x:v>
      </x:c>
      <x:c r="V715" s="9" t="str">
        <x:v>W_SKIRTS_AVGPAID_1300_1400_ANNUAL2026.xlsx / 默认 / 第277行 / SHA256 bd4dae1e08e9eca7ddd0669235bf59107cdc418b9c2898fc16f36a7ab5748692</x:v>
      </x:c>
    </x:row>
    <x:row r="716" ht="58" customHeight="1">
      <x:c r="A716" s="23" t="str">
        <x:v>1006773900466</x:v>
      </x:c>
      <x:c r="B716" s="22"/>
      <x:c r="C716" s="22"/>
      <x:c r="D716" s="22"/>
      <x:c r="E716" s="9" t="str">
        <x:v>裙长未明确</x:v>
      </x:c>
      <x:c r="F716" s="9" t="str">
        <x:v>裙装</x:v>
      </x:c>
      <x:c r="G716" s="9" t="str">
        <x:v>半身裙</x:v>
      </x:c>
      <x:c r="H716" s="9" t="str">
        <x:v>女</x:v>
      </x:c>
      <x:c r="I716" s="9" t="str">
        <x:v>Navigare意大利小帆船水洗牛仔半身裙女26秋季新款通勤风A字裙子</x:v>
      </x:c>
      <x:c r="J716" s="9" t="str">
        <x:v>NAVIGARE/纳维凯尔</x:v>
      </x:c>
      <x:c r="K716" s="24" t="n">
        <x:v>1708.4</x:v>
      </x:c>
      <x:c r="L716" s="25" t="e">
        <x:f>HYPERLINK("https://item.taobao.com/item.htm?id=1006773900466","打开商品")</x:f>
        <x:v>HYPERLINK is not implemented. linkLocation=https://item.taobao.com/item.htm?id=1006773900466, friendlyName=打开商品</x:v>
      </x:c>
      <x:c r="M716" s="25" t="e">
        <x:f>HYPERLINK("https://data.zhiyitech.cn/itemDetail/overview/base?itemId=1006773900466","打开知衣")</x:f>
        <x:v>HYPERLINK is not implemented. linkLocation=https://data.zhiyitech.cn/itemDetail/overview/base?itemId=1006773900466, friendlyName=打开知衣</x:v>
      </x:c>
      <x:c r="N716" s="25" t="e">
        <x:f>HYPERLINK("https://img.alicdn.com/bao/uploaded/i1/2216338454564/O1CN01pEPIbW1jaMl0XUuwg_!!4611686018427385892-0-item_pic.jpg","查看主图")</x:f>
        <x:v>HYPERLINK is not implemented. linkLocation=https://img.alicdn.com/bao/uploaded/i1/2216338454564/O1CN01pEPIbW1jaMl0XUuwg_!!4611686018427385892-0-item_pic.jpg, friendlyName=查看主图</x:v>
      </x:c>
      <x:c r="O716" s="9" t="str">
        <x:v>标题及既有类目语义复核；Navigare意大利小帆船水洗牛仔半身裙女26秋季新款通勤风A字裙子；原类目及标题已能确认半身裙；展示使用已知大类，未知裙长下沉到结构字段，不强猜长短。</x:v>
      </x:c>
      <x:c r="P716" s="9" t="str">
        <x:v>普通男女装</x:v>
      </x:c>
      <x:c r="Q716" s="9" t="str">
        <x:v>W_SKIRTS_AVGPAID_1700_1800_ANNUAL2026.xlsx</x:v>
      </x:c>
      <x:c r="R716" s="9" t="str">
        <x:v>默认</x:v>
      </x:c>
      <x:c r="S716" s="9" t="n">
        <x:v>153</x:v>
      </x:c>
      <x:c r="T716" s="9" t="str">
        <x:v>c25ed77c53c7c5cfcf728778a0e9b297d8689503f62756a939cbd534ca9b587a</x:v>
      </x:c>
      <x:c r="U716" s="9" t="str">
        <x:v>W_SKIRTS_AVGPAID_1700_1800_ANNUAL2026</x:v>
      </x:c>
      <x:c r="V716" s="9" t="str">
        <x:v>W_SKIRTS_AVGPAID_1700_1800_ANNUAL2026.xlsx / 默认 / 第153行 / SHA256 c25ed77c53c7c5cfcf728778a0e9b297d8689503f62756a939cbd534ca9b587a</x:v>
      </x:c>
    </x:row>
    <x:row r="717" ht="58" customHeight="1">
      <x:c r="A717" s="23" t="str">
        <x:v>1006995699019</x:v>
      </x:c>
      <x:c r="B717" s="22"/>
      <x:c r="C717" s="22"/>
      <x:c r="D717" s="22"/>
      <x:c r="E717" s="9" t="str">
        <x:v>裙长未明确</x:v>
      </x:c>
      <x:c r="F717" s="9" t="str">
        <x:v>裙装</x:v>
      </x:c>
      <x:c r="G717" s="9" t="str">
        <x:v>半身裙</x:v>
      </x:c>
      <x:c r="H717" s="9" t="str">
        <x:v>女</x:v>
      </x:c>
      <x:c r="I717" s="9" t="str">
        <x:v>NEXY.CO/奈蔻商场同款2026年春季新款精致通勤休闲女士A字半身裙</x:v>
      </x:c>
      <x:c r="J717" s="9" t="str">
        <x:v>NEXY.CO/奈蔻</x:v>
      </x:c>
      <x:c r="K717" s="24" t="n">
        <x:v>1762.68</x:v>
      </x:c>
      <x:c r="L717" s="25" t="e">
        <x:f>HYPERLINK("https://item.taobao.com/item.htm?id=1006995699019","打开商品")</x:f>
        <x:v>HYPERLINK is not implemented. linkLocation=https://item.taobao.com/item.htm?id=1006995699019, friendlyName=打开商品</x:v>
      </x:c>
      <x:c r="M717" s="25" t="e">
        <x:f>HYPERLINK("https://data.zhiyitech.cn/itemDetail/overview/base?itemId=1006995699019","打开知衣")</x:f>
        <x:v>HYPERLINK is not implemented. linkLocation=https://data.zhiyitech.cn/itemDetail/overview/base?itemId=1006995699019, friendlyName=打开知衣</x:v>
      </x:c>
      <x:c r="N717" s="25" t="e">
        <x:f>HYPERLINK("https://img.alicdn.com/bao/uploaded/i1/1687484431/O1CN01o28xPgMCoPD2R3rs_!!1687484431.jpg","查看主图")</x:f>
        <x:v>HYPERLINK is not implemented. linkLocation=https://img.alicdn.com/bao/uploaded/i1/1687484431/O1CN01o28xPgMCoPD2R3rs_!!1687484431.jpg, friendlyName=查看主图</x:v>
      </x:c>
      <x:c r="O717" s="9" t="str">
        <x:v>标题及既有类目语义复核；NEXY.CO/奈蔻商场同款2026年春季新款精致通勤休闲女士A字半身裙；原类目及标题已能确认半身裙；展示使用已知大类，未知裙长下沉到结构字段，不强猜长短。</x:v>
      </x:c>
      <x:c r="P717" s="9" t="str">
        <x:v>普通男女装</x:v>
      </x:c>
      <x:c r="Q717" s="9" t="str">
        <x:v>W_SKIRTS_AVGPAID_1700_1800_ANNUAL2026.xlsx</x:v>
      </x:c>
      <x:c r="R717" s="9" t="str">
        <x:v>默认</x:v>
      </x:c>
      <x:c r="S717" s="9" t="n">
        <x:v>263</x:v>
      </x:c>
      <x:c r="T717" s="9" t="str">
        <x:v>c25ed77c53c7c5cfcf728778a0e9b297d8689503f62756a939cbd534ca9b587a</x:v>
      </x:c>
      <x:c r="U717" s="9" t="str">
        <x:v>W_SKIRTS_AVGPAID_1700_1800_ANNUAL2026</x:v>
      </x:c>
      <x:c r="V717" s="9" t="str">
        <x:v>W_SKIRTS_AVGPAID_1700_1800_ANNUAL2026.xlsx / 默认 / 第263行 / SHA256 c25ed77c53c7c5cfcf728778a0e9b297d8689503f62756a939cbd534ca9b587a</x:v>
      </x:c>
    </x:row>
    <x:row r="718" ht="58" customHeight="1">
      <x:c r="A718" s="23" t="str">
        <x:v>1019400368529</x:v>
      </x:c>
      <x:c r="B718" s="22"/>
      <x:c r="C718" s="22"/>
      <x:c r="D718" s="22"/>
      <x:c r="E718" s="9" t="str">
        <x:v>裙长未明确</x:v>
      </x:c>
      <x:c r="F718" s="9" t="str">
        <x:v>裙装</x:v>
      </x:c>
      <x:c r="G718" s="9" t="str">
        <x:v>半身裙</x:v>
      </x:c>
      <x:c r="H718" s="9" t="str">
        <x:v>女</x:v>
      </x:c>
      <x:c r="I718" s="9" t="str">
        <x:v>NEXY.CO/奈蔻商场同款2026年春季新款高腰斜插袋半身裙A字半裙</x:v>
      </x:c>
      <x:c r="J718" s="9" t="str">
        <x:v>NEXY.CO/奈蔻</x:v>
      </x:c>
      <x:c r="K718" s="24" t="n">
        <x:v>1771.28</x:v>
      </x:c>
      <x:c r="L718" s="25" t="e">
        <x:f>HYPERLINK("https://item.taobao.com/item.htm?id=1019400368529","打开商品")</x:f>
        <x:v>HYPERLINK is not implemented. linkLocation=https://item.taobao.com/item.htm?id=1019400368529, friendlyName=打开商品</x:v>
      </x:c>
      <x:c r="M718" s="25" t="e">
        <x:f>HYPERLINK("https://data.zhiyitech.cn/itemDetail/overview/base?itemId=1019400368529","打开知衣")</x:f>
        <x:v>HYPERLINK is not implemented. linkLocation=https://data.zhiyitech.cn/itemDetail/overview/base?itemId=1019400368529, friendlyName=打开知衣</x:v>
      </x:c>
      <x:c r="N718" s="25" t="e">
        <x:f>HYPERLINK("https://img.alicdn.com/bao/uploaded/i4/1687484431/O1CN01EqN6rpZju9E2R3rs_!!1687484431.jpg","查看主图")</x:f>
        <x:v>HYPERLINK is not implemented. linkLocation=https://img.alicdn.com/bao/uploaded/i4/1687484431/O1CN01EqN6rpZju9E2R3rs_!!1687484431.jpg, friendlyName=查看主图</x:v>
      </x:c>
      <x:c r="O718" s="9" t="str">
        <x:v>标题及既有类目语义复核；NEXY.CO/奈蔻商场同款2026年春季新款高腰斜插袋半身裙A字半裙；原类目及标题已能确认半身裙；展示使用已知大类，未知裙长下沉到结构字段，不强猜长短。</x:v>
      </x:c>
      <x:c r="P718" s="9" t="str">
        <x:v>普通男女装</x:v>
      </x:c>
      <x:c r="Q718" s="9" t="str">
        <x:v>W_SKIRTS_AVGPAID_1700_1800_ANNUAL2026.xlsx</x:v>
      </x:c>
      <x:c r="R718" s="9" t="str">
        <x:v>默认</x:v>
      </x:c>
      <x:c r="S718" s="9" t="n">
        <x:v>277</x:v>
      </x:c>
      <x:c r="T718" s="9" t="str">
        <x:v>c25ed77c53c7c5cfcf728778a0e9b297d8689503f62756a939cbd534ca9b587a</x:v>
      </x:c>
      <x:c r="U718" s="9" t="str">
        <x:v>W_SKIRTS_AVGPAID_1700_1800_ANNUAL2026</x:v>
      </x:c>
      <x:c r="V718" s="9" t="str">
        <x:v>W_SKIRTS_AVGPAID_1700_1800_ANNUAL2026.xlsx / 默认 / 第277行 / SHA256 c25ed77c53c7c5cfcf728778a0e9b297d8689503f62756a939cbd534ca9b587a</x:v>
      </x:c>
    </x:row>
    <x:row r="719" ht="58" customHeight="1">
      <x:c r="A719" s="23" t="str">
        <x:v>1079682746951</x:v>
      </x:c>
      <x:c r="B719" s="22"/>
      <x:c r="C719" s="22"/>
      <x:c r="D719" s="22"/>
      <x:c r="E719" s="9" t="str">
        <x:v>裙长未明确</x:v>
      </x:c>
      <x:c r="F719" s="9" t="str">
        <x:v>裙装</x:v>
      </x:c>
      <x:c r="G719" s="9" t="str">
        <x:v>半身裙</x:v>
      </x:c>
      <x:c r="H719" s="9" t="str">
        <x:v>女</x:v>
      </x:c>
      <x:c r="I719" s="9" t="str">
        <x:v>[行简系列]NEXY.CO/奈蔻2026年冬季新款通勤精纺显瘦羊毛半身裙</x:v>
      </x:c>
      <x:c r="J719" s="9" t="str">
        <x:v>NEXY.CO/奈蔻</x:v>
      </x:c>
      <x:c r="K719" s="24" t="n">
        <x:v>1704.1</x:v>
      </x:c>
      <x:c r="L719" s="25" t="e">
        <x:f>HYPERLINK("https://item.taobao.com/item.htm?id=1079682746951","打开商品")</x:f>
        <x:v>HYPERLINK is not implemented. linkLocation=https://item.taobao.com/item.htm?id=1079682746951, friendlyName=打开商品</x:v>
      </x:c>
      <x:c r="M719" s="25" t="e">
        <x:f>HYPERLINK("https://data.zhiyitech.cn/itemDetail/overview/base?itemId=1079682746951","打开知衣")</x:f>
        <x:v>HYPERLINK is not implemented. linkLocation=https://data.zhiyitech.cn/itemDetail/overview/base?itemId=1079682746951, friendlyName=打开知衣</x:v>
      </x:c>
      <x:c r="N719" s="25" t="e">
        <x:f>HYPERLINK("https://img.alicdn.com/bao/uploaded/i1/1687484431/O1CN01hiRDyyJpa4F2R3rs_!!1687484431.jpg","查看主图")</x:f>
        <x:v>HYPERLINK is not implemented. linkLocation=https://img.alicdn.com/bao/uploaded/i1/1687484431/O1CN01hiRDyyJpa4F2R3rs_!!1687484431.jpg, friendlyName=查看主图</x:v>
      </x:c>
      <x:c r="O719" s="9" t="str">
        <x:v>标题及既有类目语义复核；[行简系列]NEXY.CO/奈蔻2026年冬季新款通勤精纺显瘦羊毛半身裙；原类目及标题已能确认半身裙；展示使用已知大类，未知裙长下沉到结构字段，不强猜长短。</x:v>
      </x:c>
      <x:c r="P719" s="9" t="str">
        <x:v>普通男女装</x:v>
      </x:c>
      <x:c r="Q719" s="9" t="str">
        <x:v>W_SKIRTS_AVGPAID_1700_1800_ANNUAL2026.xlsx</x:v>
      </x:c>
      <x:c r="R719" s="9" t="str">
        <x:v>默认</x:v>
      </x:c>
      <x:c r="S719" s="9" t="n">
        <x:v>228</x:v>
      </x:c>
      <x:c r="T719" s="9" t="str">
        <x:v>c25ed77c53c7c5cfcf728778a0e9b297d8689503f62756a939cbd534ca9b587a</x:v>
      </x:c>
      <x:c r="U719" s="9" t="str">
        <x:v>W_SKIRTS_AVGPAID_1700_1800_ANNUAL2026</x:v>
      </x:c>
      <x:c r="V719" s="9" t="str">
        <x:v>W_SKIRTS_AVGPAID_1700_1800_ANNUAL2026.xlsx / 默认 / 第228行 / SHA256 c25ed77c53c7c5cfcf728778a0e9b297d8689503f62756a939cbd534ca9b587a</x:v>
      </x:c>
    </x:row>
    <x:row r="720" ht="58" customHeight="1">
      <x:c r="A720" s="23" t="str">
        <x:v>885996761080</x:v>
      </x:c>
      <x:c r="B720" s="22"/>
      <x:c r="C720" s="22"/>
      <x:c r="D720" s="22"/>
      <x:c r="E720" s="9" t="str">
        <x:v>裙长未明确</x:v>
      </x:c>
      <x:c r="F720" s="9" t="str">
        <x:v>裙装</x:v>
      </x:c>
      <x:c r="G720" s="9" t="str">
        <x:v>半身裙</x:v>
      </x:c>
      <x:c r="H720" s="9" t="str">
        <x:v>女</x:v>
      </x:c>
      <x:c r="I720" s="9" t="str">
        <x:v>奈蔻咖色褶饰三醋酸半裙</x:v>
      </x:c>
      <x:c r="J720" s="9" t="str">
        <x:v>NEXY.CO/奈蔻</x:v>
      </x:c>
      <x:c r="K720" s="24" t="n">
        <x:v>1335.23</x:v>
      </x:c>
      <x:c r="L720" s="25" t="e">
        <x:f>HYPERLINK("https://item.taobao.com/item.htm?id=885996761080","打开商品")</x:f>
        <x:v>HYPERLINK is not implemented. linkLocation=https://item.taobao.com/item.htm?id=885996761080, friendlyName=打开商品</x:v>
      </x:c>
      <x:c r="M720" s="25" t="e">
        <x:f>HYPERLINK("https://data.zhiyitech.cn/itemDetail/overview/base?itemId=885996761080","打开知衣")</x:f>
        <x:v>HYPERLINK is not implemented. linkLocation=https://data.zhiyitech.cn/itemDetail/overview/base?itemId=885996761080, friendlyName=打开知衣</x:v>
      </x:c>
      <x:c r="N720" s="25" t="e">
        <x:f>HYPERLINK("https://img.alicdn.com/bao/uploaded/i2/1687484431/O1CN01OttUGaA8sUE2R3rs_!!1687484431.jpg","查看主图")</x:f>
        <x:v>HYPERLINK is not implemented. linkLocation=https://img.alicdn.com/bao/uploaded/i2/1687484431/O1CN01OttUGaA8sUE2R3rs_!!1687484431.jpg, friendlyName=查看主图</x:v>
      </x:c>
      <x:c r="O720" s="9" t="str">
        <x:v>标题及既有类目语义复核；奈蔻咖色褶饰三醋酸半裙；原类目及标题已能确认半身裙；展示使用已知大类，未知裙长下沉到结构字段，不强猜长短。</x:v>
      </x:c>
      <x:c r="P720" s="9" t="str">
        <x:v>普通男女装</x:v>
      </x:c>
      <x:c r="Q720" s="9" t="str">
        <x:v>W_SKIRTS_AVGPAID_1300_1400_ANNUAL2026.xlsx</x:v>
      </x:c>
      <x:c r="R720" s="9" t="str">
        <x:v>默认</x:v>
      </x:c>
      <x:c r="S720" s="9" t="n">
        <x:v>190</x:v>
      </x:c>
      <x:c r="T720" s="9" t="str">
        <x:v>bd4dae1e08e9eca7ddd0669235bf59107cdc418b9c2898fc16f36a7ab5748692</x:v>
      </x:c>
      <x:c r="U720" s="9" t="str">
        <x:v>W_SKIRTS_AVGPAID_1300_1400_ANNUAL2026</x:v>
      </x:c>
      <x:c r="V720" s="9" t="str">
        <x:v>W_SKIRTS_AVGPAID_1300_1400_ANNUAL2026.xlsx / 默认 / 第190行 / SHA256 bd4dae1e08e9eca7ddd0669235bf59107cdc418b9c2898fc16f36a7ab5748692</x:v>
      </x:c>
    </x:row>
    <x:row r="721" ht="58" customHeight="1">
      <x:c r="A721" s="23" t="str">
        <x:v>886342544614</x:v>
      </x:c>
      <x:c r="B721" s="22"/>
      <x:c r="C721" s="22"/>
      <x:c r="D721" s="22"/>
      <x:c r="E721" s="9" t="str">
        <x:v>裙长未明确</x:v>
      </x:c>
      <x:c r="F721" s="9" t="str">
        <x:v>裙装</x:v>
      </x:c>
      <x:c r="G721" s="9" t="str">
        <x:v>半身裙</x:v>
      </x:c>
      <x:c r="H721" s="9" t="str">
        <x:v>女</x:v>
      </x:c>
      <x:c r="I721" s="9" t="str">
        <x:v>NEXY.CO/奈蔻商场同款2025年夏季新款醋酸鱼尾裙通勤a字半身裙子</x:v>
      </x:c>
      <x:c r="J721" s="9" t="str">
        <x:v>NEXY.CO/奈蔻</x:v>
      </x:c>
      <x:c r="K721" s="24" t="n">
        <x:v>1318.83</x:v>
      </x:c>
      <x:c r="L721" s="25" t="e">
        <x:f>HYPERLINK("https://item.taobao.com/item.htm?id=886342544614","打开商品")</x:f>
        <x:v>HYPERLINK is not implemented. linkLocation=https://item.taobao.com/item.htm?id=886342544614, friendlyName=打开商品</x:v>
      </x:c>
      <x:c r="M721" s="25" t="e">
        <x:f>HYPERLINK("https://data.zhiyitech.cn/itemDetail/overview/base?itemId=886342544614","打开知衣")</x:f>
        <x:v>HYPERLINK is not implemented. linkLocation=https://data.zhiyitech.cn/itemDetail/overview/base?itemId=886342544614, friendlyName=打开知衣</x:v>
      </x:c>
      <x:c r="N721" s="25" t="e">
        <x:f>HYPERLINK("https://img.alicdn.com/bao/uploaded/i1/1687484431/O1CN01IyTahRvDP4F2R3rs_!!4611686018427385871-0-item_pic.jpg","查看主图")</x:f>
        <x:v>HYPERLINK is not implemented. linkLocation=https://img.alicdn.com/bao/uploaded/i1/1687484431/O1CN01IyTahRvDP4F2R3rs_!!4611686018427385871-0-item_pic.jpg, friendlyName=查看主图</x:v>
      </x:c>
      <x:c r="O721" s="9" t="str">
        <x:v>标题及既有类目语义复核；NEXY.CO/奈蔻商场同款2025年夏季新款醋酸鱼尾裙通勤a字半身裙子；原类目及标题已能确认半身裙；展示使用已知大类，未知裙长下沉到结构字段，不强猜长短。</x:v>
      </x:c>
      <x:c r="P721" s="9" t="str">
        <x:v>普通男女装</x:v>
      </x:c>
      <x:c r="Q721" s="9" t="str">
        <x:v>W_SKIRTS_AVGPAID_1300_1400_ANNUAL2026.xlsx</x:v>
      </x:c>
      <x:c r="R721" s="9" t="str">
        <x:v>默认</x:v>
      </x:c>
      <x:c r="S721" s="9" t="n">
        <x:v>281</x:v>
      </x:c>
      <x:c r="T721" s="9" t="str">
        <x:v>bd4dae1e08e9eca7ddd0669235bf59107cdc418b9c2898fc16f36a7ab5748692</x:v>
      </x:c>
      <x:c r="U721" s="9" t="str">
        <x:v>W_SKIRTS_AVGPAID_1300_1400_ANNUAL2026</x:v>
      </x:c>
      <x:c r="V721" s="9" t="str">
        <x:v>W_SKIRTS_AVGPAID_1300_1400_ANNUAL2026.xlsx / 默认 / 第281行 / SHA256 bd4dae1e08e9eca7ddd0669235bf59107cdc418b9c2898fc16f36a7ab5748692</x:v>
      </x:c>
    </x:row>
    <x:row r="722" ht="58" customHeight="1">
      <x:c r="A722" s="23" t="str">
        <x:v>886342704295</x:v>
      </x:c>
      <x:c r="B722" s="22"/>
      <x:c r="C722" s="22"/>
      <x:c r="D722" s="22"/>
      <x:c r="E722" s="9" t="str">
        <x:v>裙长未明确</x:v>
      </x:c>
      <x:c r="F722" s="9" t="str">
        <x:v>裙装</x:v>
      </x:c>
      <x:c r="G722" s="9" t="str">
        <x:v>半身裙</x:v>
      </x:c>
      <x:c r="H722" s="9" t="str">
        <x:v>女</x:v>
      </x:c>
      <x:c r="I722" s="9" t="str">
        <x:v>【木兰缪斯】NEXY.CO/奈蔻2025年夏季新款印花设计感a字半身裙</x:v>
      </x:c>
      <x:c r="J722" s="9" t="str">
        <x:v>NEXY.CO/奈蔻</x:v>
      </x:c>
      <x:c r="K722" s="24" t="n">
        <x:v>1342.43</x:v>
      </x:c>
      <x:c r="L722" s="25" t="e">
        <x:f>HYPERLINK("https://item.taobao.com/item.htm?id=886342704295","打开商品")</x:f>
        <x:v>HYPERLINK is not implemented. linkLocation=https://item.taobao.com/item.htm?id=886342704295, friendlyName=打开商品</x:v>
      </x:c>
      <x:c r="M722" s="25" t="e">
        <x:f>HYPERLINK("https://data.zhiyitech.cn/itemDetail/overview/base?itemId=886342704295","打开知衣")</x:f>
        <x:v>HYPERLINK is not implemented. linkLocation=https://data.zhiyitech.cn/itemDetail/overview/base?itemId=886342704295, friendlyName=打开知衣</x:v>
      </x:c>
      <x:c r="N722" s="25" t="e">
        <x:f>HYPERLINK("https://img.alicdn.com/bao/uploaded/i2/1687484431/O1CN01pxu6aglsZLF2R3rs_!!1687484431.jpg","查看主图")</x:f>
        <x:v>HYPERLINK is not implemented. linkLocation=https://img.alicdn.com/bao/uploaded/i2/1687484431/O1CN01pxu6aglsZLF2R3rs_!!1687484431.jpg, friendlyName=查看主图</x:v>
      </x:c>
      <x:c r="O722" s="9" t="str">
        <x:v>标题及既有类目语义复核；【木兰缪斯】NEXY.CO/奈蔻2025年夏季新款印花设计感a字半身裙；原类目及标题已能确认半身裙；展示使用已知大类，未知裙长下沉到结构字段，不强猜长短。</x:v>
      </x:c>
      <x:c r="P722" s="9" t="str">
        <x:v>普通男女装</x:v>
      </x:c>
      <x:c r="Q722" s="9" t="str">
        <x:v>W_SKIRTS_AVGPAID_1300_1400_ANNUAL2026.xlsx</x:v>
      </x:c>
      <x:c r="R722" s="9" t="str">
        <x:v>默认</x:v>
      </x:c>
      <x:c r="S722" s="9" t="n">
        <x:v>24</x:v>
      </x:c>
      <x:c r="T722" s="9" t="str">
        <x:v>bd4dae1e08e9eca7ddd0669235bf59107cdc418b9c2898fc16f36a7ab5748692</x:v>
      </x:c>
      <x:c r="U722" s="9" t="str">
        <x:v>W_SKIRTS_AVGPAID_1300_1400_ANNUAL2026</x:v>
      </x:c>
      <x:c r="V722" s="9" t="str">
        <x:v>W_SKIRTS_AVGPAID_1300_1400_ANNUAL2026.xlsx / 默认 / 第24行 / SHA256 bd4dae1e08e9eca7ddd0669235bf59107cdc418b9c2898fc16f36a7ab5748692</x:v>
      </x:c>
    </x:row>
    <x:row r="723" ht="58" customHeight="1">
      <x:c r="A723" s="23" t="str">
        <x:v>980210982751</x:v>
      </x:c>
      <x:c r="B723" s="22"/>
      <x:c r="C723" s="22"/>
      <x:c r="D723" s="22"/>
      <x:c r="E723" s="9" t="str">
        <x:v>裙长未明确</x:v>
      </x:c>
      <x:c r="F723" s="9" t="str">
        <x:v>裙装</x:v>
      </x:c>
      <x:c r="G723" s="9" t="str">
        <x:v>半身裙</x:v>
      </x:c>
      <x:c r="H723" s="9" t="str">
        <x:v>女</x:v>
      </x:c>
      <x:c r="I723" s="9" t="str">
        <x:v>o cloche code秋冬25AW新款棉羊绒坑条半裙</x:v>
      </x:c>
      <x:c r="J723" s="9" t="str">
        <x:v>O CLOCHE CODE</x:v>
      </x:c>
      <x:c r="K723" s="24" t="n">
        <x:v>1534.48</x:v>
      </x:c>
      <x:c r="L723" s="25" t="e">
        <x:f>HYPERLINK("https://item.taobao.com/item.htm?id=980210982751","打开商品")</x:f>
        <x:v>HYPERLINK is not implemented. linkLocation=https://item.taobao.com/item.htm?id=980210982751, friendlyName=打开商品</x:v>
      </x:c>
      <x:c r="M723" s="25" t="e">
        <x:f>HYPERLINK("https://data.zhiyitech.cn/itemDetail/overview/base?itemId=980210982751","打开知衣")</x:f>
        <x:v>HYPERLINK is not implemented. linkLocation=https://data.zhiyitech.cn/itemDetail/overview/base?itemId=980210982751, friendlyName=打开知衣</x:v>
      </x:c>
      <x:c r="N723" s="25" t="e">
        <x:f>HYPERLINK("https://img.alicdn.com/bao/uploaded/i1/729493636/O1CN01OwPOzCzAorF2vH2e_!!729493636.jpg","查看主图")</x:f>
        <x:v>HYPERLINK is not implemented. linkLocation=https://img.alicdn.com/bao/uploaded/i1/729493636/O1CN01OwPOzCzAorF2vH2e_!!729493636.jpg, friendlyName=查看主图</x:v>
      </x:c>
      <x:c r="O723" s="9" t="str">
        <x:v>标题及既有类目语义复核；o cloche code秋冬25AW新款棉羊绒坑条半裙；原类目及标题已能确认半身裙；展示使用已知大类，未知裙长下沉到结构字段，不强猜长短。</x:v>
      </x:c>
      <x:c r="P723" s="9" t="str">
        <x:v>普通男女装</x:v>
      </x:c>
      <x:c r="Q723" s="9" t="str">
        <x:v>W_SKIRTS_AVGPAID_1500_1600_ANNUAL2026.xlsx</x:v>
      </x:c>
      <x:c r="R723" s="9" t="str">
        <x:v>默认</x:v>
      </x:c>
      <x:c r="S723" s="9" t="n">
        <x:v>174</x:v>
      </x:c>
      <x:c r="T723" s="9" t="str">
        <x:v>deede8b56943df4f914be45dba170f12e69064023d6ef0e88dbde1764f6ba23e</x:v>
      </x:c>
      <x:c r="U723" s="9" t="str">
        <x:v>W_SKIRTS_AVGPAID_1500_1600_ANNUAL2026</x:v>
      </x:c>
      <x:c r="V723" s="9" t="str">
        <x:v>W_SKIRTS_AVGPAID_1500_1600_ANNUAL2026.xlsx / 默认 / 第174行 / SHA256 deede8b56943df4f914be45dba170f12e69064023d6ef0e88dbde1764f6ba23e</x:v>
      </x:c>
    </x:row>
    <x:row r="724" ht="58" customHeight="1">
      <x:c r="A724" s="23" t="str">
        <x:v>980284581399</x:v>
      </x:c>
      <x:c r="B724" s="22"/>
      <x:c r="C724" s="22"/>
      <x:c r="D724" s="22"/>
      <x:c r="E724" s="9" t="str">
        <x:v>裙长未明确</x:v>
      </x:c>
      <x:c r="F724" s="9" t="str">
        <x:v>裙装</x:v>
      </x:c>
      <x:c r="G724" s="9" t="str">
        <x:v>半身裙</x:v>
      </x:c>
      <x:c r="H724" s="9" t="str">
        <x:v>女</x:v>
      </x:c>
      <x:c r="I724" s="9" t="str">
        <x:v>o cloche code_坑条半裙_85%棉15%山羊绒</x:v>
      </x:c>
      <x:c r="J724" s="9" t="str">
        <x:v>O CLOCHE CODE</x:v>
      </x:c>
      <x:c r="K724" s="24" t="n">
        <x:v>1513.26</x:v>
      </x:c>
      <x:c r="L724" s="25" t="e">
        <x:f>HYPERLINK("https://item.taobao.com/item.htm?id=980284581399","打开商品")</x:f>
        <x:v>HYPERLINK is not implemented. linkLocation=https://item.taobao.com/item.htm?id=980284581399, friendlyName=打开商品</x:v>
      </x:c>
      <x:c r="M724" s="25" t="e">
        <x:f>HYPERLINK("https://data.zhiyitech.cn/itemDetail/overview/base?itemId=980284581399","打开知衣")</x:f>
        <x:v>HYPERLINK is not implemented. linkLocation=https://data.zhiyitech.cn/itemDetail/overview/base?itemId=980284581399, friendlyName=打开知衣</x:v>
      </x:c>
      <x:c r="N724" s="25" t="e">
        <x:f>HYPERLINK("https://img.alicdn.com/bao/uploaded/i3/2217772809371/O1CN01sSnSosyh1fK2lhs0_!!2217772809371.jpg","查看主图")</x:f>
        <x:v>HYPERLINK is not implemented. linkLocation=https://img.alicdn.com/bao/uploaded/i3/2217772809371/O1CN01sSnSosyh1fK2lhs0_!!2217772809371.jpg, friendlyName=查看主图</x:v>
      </x:c>
      <x:c r="O724" s="9" t="str">
        <x:v>标题及既有类目语义复核；o cloche code_坑条半裙_85%棉15%山羊绒；原类目及标题已能确认半身裙；展示使用已知大类，未知裙长下沉到结构字段，不强猜长短。</x:v>
      </x:c>
      <x:c r="P724" s="9" t="str">
        <x:v>普通男女装</x:v>
      </x:c>
      <x:c r="Q724" s="9" t="str">
        <x:v>W_SKIRTS_AVGPAID_1500_1600_ANNUAL2026.xlsx</x:v>
      </x:c>
      <x:c r="R724" s="9" t="str">
        <x:v>默认</x:v>
      </x:c>
      <x:c r="S724" s="9" t="n">
        <x:v>22</x:v>
      </x:c>
      <x:c r="T724" s="9" t="str">
        <x:v>deede8b56943df4f914be45dba170f12e69064023d6ef0e88dbde1764f6ba23e</x:v>
      </x:c>
      <x:c r="U724" s="9" t="str">
        <x:v>W_SKIRTS_AVGPAID_1500_1600_ANNUAL2026</x:v>
      </x:c>
      <x:c r="V724" s="9" t="str">
        <x:v>W_SKIRTS_AVGPAID_1500_1600_ANNUAL2026.xlsx / 默认 / 第22行 / SHA256 deede8b56943df4f914be45dba170f12e69064023d6ef0e88dbde1764f6ba23e</x:v>
      </x:c>
    </x:row>
    <x:row r="725" ht="58" customHeight="1">
      <x:c r="A725" s="23" t="str">
        <x:v>982860200637</x:v>
      </x:c>
      <x:c r="B725" s="22"/>
      <x:c r="C725" s="22"/>
      <x:c r="D725" s="22"/>
      <x:c r="E725" s="9" t="str">
        <x:v>裙长未明确</x:v>
      </x:c>
      <x:c r="F725" s="9" t="str">
        <x:v>裙装</x:v>
      </x:c>
      <x:c r="G725" s="9" t="str">
        <x:v>半身裙</x:v>
      </x:c>
      <x:c r="H725" s="9" t="str">
        <x:v>女</x:v>
      </x:c>
      <x:c r="I725" s="9" t="str">
        <x:v>o cloche code羊绒坑条半身裙</x:v>
      </x:c>
      <x:c r="J725" s="9" t="str">
        <x:v>O CLOCHE CODE</x:v>
      </x:c>
      <x:c r="K725" s="24" t="n">
        <x:v>1517.13</x:v>
      </x:c>
      <x:c r="L725" s="25" t="e">
        <x:f>HYPERLINK("https://item.taobao.com/item.htm?id=982860200637","打开商品")</x:f>
        <x:v>HYPERLINK is not implemented. linkLocation=https://item.taobao.com/item.htm?id=982860200637, friendlyName=打开商品</x:v>
      </x:c>
      <x:c r="M725" s="25" t="e">
        <x:f>HYPERLINK("https://data.zhiyitech.cn/itemDetail/overview/base?itemId=982860200637","打开知衣")</x:f>
        <x:v>HYPERLINK is not implemented. linkLocation=https://data.zhiyitech.cn/itemDetail/overview/base?itemId=982860200637, friendlyName=打开知衣</x:v>
      </x:c>
      <x:c r="N725" s="25" t="e">
        <x:f>HYPERLINK("https://img.alicdn.com/bao/uploaded/i1/2215477449239/O1CN01ccbPTf2I7WLUFrGeV_!!4611686018427384343-0-item_pic.jpg","查看主图")</x:f>
        <x:v>HYPERLINK is not implemented. linkLocation=https://img.alicdn.com/bao/uploaded/i1/2215477449239/O1CN01ccbPTf2I7WLUFrGeV_!!4611686018427384343-0-item_pic.jpg, friendlyName=查看主图</x:v>
      </x:c>
      <x:c r="O725" s="9" t="str">
        <x:v>标题及既有类目语义复核；o cloche code羊绒坑条半身裙；原类目及标题已能确认半身裙；展示使用已知大类，未知裙长下沉到结构字段，不强猜长短。</x:v>
      </x:c>
      <x:c r="P725" s="9" t="str">
        <x:v>普通男女装</x:v>
      </x:c>
      <x:c r="Q725" s="9" t="str">
        <x:v>W_SKIRTS_AVGPAID_1500_1600_ANNUAL2026.xlsx</x:v>
      </x:c>
      <x:c r="R725" s="9" t="str">
        <x:v>默认</x:v>
      </x:c>
      <x:c r="S725" s="9" t="n">
        <x:v>446</x:v>
      </x:c>
      <x:c r="T725" s="9" t="str">
        <x:v>deede8b56943df4f914be45dba170f12e69064023d6ef0e88dbde1764f6ba23e</x:v>
      </x:c>
      <x:c r="U725" s="9" t="str">
        <x:v>W_SKIRTS_AVGPAID_1500_1600_ANNUAL2026</x:v>
      </x:c>
      <x:c r="V725" s="9" t="str">
        <x:v>W_SKIRTS_AVGPAID_1500_1600_ANNUAL2026.xlsx / 默认 / 第446行 / SHA256 deede8b56943df4f914be45dba170f12e69064023d6ef0e88dbde1764f6ba23e</x:v>
      </x:c>
    </x:row>
    <x:row r="726" ht="58" customHeight="1">
      <x:c r="A726" s="23" t="str">
        <x:v>1043625157241</x:v>
      </x:c>
      <x:c r="B726" s="22"/>
      <x:c r="C726" s="22"/>
      <x:c r="D726" s="22"/>
      <x:c r="E726" s="9" t="str">
        <x:v>裙长未明确</x:v>
      </x:c>
      <x:c r="F726" s="9" t="str">
        <x:v>裙装</x:v>
      </x:c>
      <x:c r="G726" s="9" t="str">
        <x:v>半身裙</x:v>
      </x:c>
      <x:c r="H726" s="9" t="str">
        <x:v>女</x:v>
      </x:c>
      <x:c r="I726" s="9" t="str">
        <x:v>【商场同款】OBEG欧碧倩2026夏蓝影印花轻盈感度假半身裙10522078</x:v>
      </x:c>
      <x:c r="J726" s="9" t="str">
        <x:v>OBEG/欧碧倩</x:v>
      </x:c>
      <x:c r="K726" s="24" t="n">
        <x:v>1704.76</x:v>
      </x:c>
      <x:c r="L726" s="25" t="e">
        <x:f>HYPERLINK("https://item.taobao.com/item.htm?id=1043625157241","打开商品")</x:f>
        <x:v>HYPERLINK is not implemented. linkLocation=https://item.taobao.com/item.htm?id=1043625157241, friendlyName=打开商品</x:v>
      </x:c>
      <x:c r="M726" s="25" t="e">
        <x:f>HYPERLINK("https://data.zhiyitech.cn/itemDetail/overview/base?itemId=1043625157241","打开知衣")</x:f>
        <x:v>HYPERLINK is not implemented. linkLocation=https://data.zhiyitech.cn/itemDetail/overview/base?itemId=1043625157241, friendlyName=打开知衣</x:v>
      </x:c>
      <x:c r="N726" s="25" t="e">
        <x:f>HYPERLINK("https://img.alicdn.com/bao/uploaded/i2/1022667687/O1CN01luq0wXT3mWG1chua_!!1022667687.jpg","查看主图")</x:f>
        <x:v>HYPERLINK is not implemented. linkLocation=https://img.alicdn.com/bao/uploaded/i2/1022667687/O1CN01luq0wXT3mWG1chua_!!1022667687.jpg, friendlyName=查看主图</x:v>
      </x:c>
      <x:c r="O726" s="9" t="str">
        <x:v>标题及既有类目语义复核；【商场同款】OBEG欧碧倩2026夏蓝影印花轻盈感度假半身裙10522078；原类目及标题已能确认半身裙；展示使用已知大类，未知裙长下沉到结构字段，不强猜长短。</x:v>
      </x:c>
      <x:c r="P726" s="9" t="str">
        <x:v>普通男女装</x:v>
      </x:c>
      <x:c r="Q726" s="9" t="str">
        <x:v>W_SKIRTS_AVGPAID_1700_1800_ANNUAL2026.xlsx</x:v>
      </x:c>
      <x:c r="R726" s="9" t="str">
        <x:v>默认</x:v>
      </x:c>
      <x:c r="S726" s="9" t="n">
        <x:v>417</x:v>
      </x:c>
      <x:c r="T726" s="9" t="str">
        <x:v>c25ed77c53c7c5cfcf728778a0e9b297d8689503f62756a939cbd534ca9b587a</x:v>
      </x:c>
      <x:c r="U726" s="9" t="str">
        <x:v>W_SKIRTS_AVGPAID_1700_1800_ANNUAL2026</x:v>
      </x:c>
      <x:c r="V726" s="9" t="str">
        <x:v>W_SKIRTS_AVGPAID_1700_1800_ANNUAL2026.xlsx / 默认 / 第417行 / SHA256 c25ed77c53c7c5cfcf728778a0e9b297d8689503f62756a939cbd534ca9b587a</x:v>
      </x:c>
    </x:row>
    <x:row r="727" ht="58" customHeight="1">
      <x:c r="A727" s="23" t="str">
        <x:v>984406597715</x:v>
      </x:c>
      <x:c r="B727" s="22"/>
      <x:c r="C727" s="22"/>
      <x:c r="D727" s="22"/>
      <x:c r="E727" s="9" t="str">
        <x:v>裙长未明确</x:v>
      </x:c>
      <x:c r="F727" s="9" t="str">
        <x:v>裙装</x:v>
      </x:c>
      <x:c r="G727" s="9" t="str">
        <x:v>半身裙</x:v>
      </x:c>
      <x:c r="H727" s="9" t="str">
        <x:v>女</x:v>
      </x:c>
      <x:c r="I727" s="9" t="str">
        <x:v>商场同款】OBEG欧碧倩冬职场轻熟风羊毛针织半身包臀裙10504029</x:v>
      </x:c>
      <x:c r="J727" s="9" t="str">
        <x:v>OBEG/欧碧倩</x:v>
      </x:c>
      <x:c r="K727" s="24" t="n">
        <x:v>1761.9</x:v>
      </x:c>
      <x:c r="L727" s="25" t="e">
        <x:f>HYPERLINK("https://item.taobao.com/item.htm?id=984406597715","打开商品")</x:f>
        <x:v>HYPERLINK is not implemented. linkLocation=https://item.taobao.com/item.htm?id=984406597715, friendlyName=打开商品</x:v>
      </x:c>
      <x:c r="M727" s="25" t="e">
        <x:f>HYPERLINK("https://data.zhiyitech.cn/itemDetail/overview/base?itemId=984406597715","打开知衣")</x:f>
        <x:v>HYPERLINK is not implemented. linkLocation=https://data.zhiyitech.cn/itemDetail/overview/base?itemId=984406597715, friendlyName=打开知衣</x:v>
      </x:c>
      <x:c r="N727" s="25" t="e">
        <x:f>HYPERLINK("https://img.alicdn.com/bao/uploaded/i2/1022667687/O1CN010EcTuB26ehgmixlYN_!!1022667687.jpg","查看主图")</x:f>
        <x:v>HYPERLINK is not implemented. linkLocation=https://img.alicdn.com/bao/uploaded/i2/1022667687/O1CN010EcTuB26ehgmixlYN_!!1022667687.jpg, friendlyName=查看主图</x:v>
      </x:c>
      <x:c r="O727" s="9" t="str">
        <x:v>标题及既有类目语义复核；商场同款】OBEG欧碧倩冬职场轻熟风羊毛针织半身包臀裙10504029；原类目及标题已能确认半身裙；展示使用已知大类，未知裙长下沉到结构字段，不强猜长短。</x:v>
      </x:c>
      <x:c r="P727" s="9" t="str">
        <x:v>普通男女装</x:v>
      </x:c>
      <x:c r="Q727" s="9" t="str">
        <x:v>W_SKIRTS_AVGPAID_1700_1800_ANNUAL2026.xlsx</x:v>
      </x:c>
      <x:c r="R727" s="9" t="str">
        <x:v>默认</x:v>
      </x:c>
      <x:c r="S727" s="9" t="n">
        <x:v>409</x:v>
      </x:c>
      <x:c r="T727" s="9" t="str">
        <x:v>c25ed77c53c7c5cfcf728778a0e9b297d8689503f62756a939cbd534ca9b587a</x:v>
      </x:c>
      <x:c r="U727" s="9" t="str">
        <x:v>W_SKIRTS_AVGPAID_1700_1800_ANNUAL2026</x:v>
      </x:c>
      <x:c r="V727" s="9" t="str">
        <x:v>W_SKIRTS_AVGPAID_1700_1800_ANNUAL2026.xlsx / 默认 / 第409行 / SHA256 c25ed77c53c7c5cfcf728778a0e9b297d8689503f62756a939cbd534ca9b587a</x:v>
      </x:c>
    </x:row>
    <x:row r="728" ht="58" customHeight="1">
      <x:c r="A728" s="23" t="str">
        <x:v>1013630419251</x:v>
      </x:c>
      <x:c r="B728" s="22"/>
      <x:c r="C728" s="22"/>
      <x:c r="D728" s="22"/>
      <x:c r="E728" s="9" t="str">
        <x:v>裙长未明确</x:v>
      </x:c>
      <x:c r="F728" s="9" t="str">
        <x:v>裙装</x:v>
      </x:c>
      <x:c r="G728" s="9" t="str">
        <x:v>半身裙</x:v>
      </x:c>
      <x:c r="H728" s="9" t="str">
        <x:v>女</x:v>
      </x:c>
      <x:c r="I728" s="9" t="str">
        <x:v>[热销补货]金标系列 奚梦瑶同款|欧时力半身裙26秋真丝蕾丝纱裙</x:v>
      </x:c>
      <x:c r="J728" s="9" t="str">
        <x:v>OCHIRLY/欧时力</x:v>
      </x:c>
      <x:c r="K728" s="24" t="n">
        <x:v>1544.12</x:v>
      </x:c>
      <x:c r="L728" s="25" t="e">
        <x:f>HYPERLINK("https://item.taobao.com/item.htm?id=1013630419251","打开商品")</x:f>
        <x:v>HYPERLINK is not implemented. linkLocation=https://item.taobao.com/item.htm?id=1013630419251, friendlyName=打开商品</x:v>
      </x:c>
      <x:c r="M728" s="25" t="e">
        <x:f>HYPERLINK("https://data.zhiyitech.cn/itemDetail/overview/base?itemId=1013630419251","打开知衣")</x:f>
        <x:v>HYPERLINK is not implemented. linkLocation=https://data.zhiyitech.cn/itemDetail/overview/base?itemId=1013630419251, friendlyName=打开知衣</x:v>
      </x:c>
      <x:c r="N728" s="25" t="e">
        <x:f>HYPERLINK("https://img.alicdn.com/bao/uploaded/i2/272205633/O1CN01E1gTlkIGVmD1chua_!!272205633.jpg","查看主图")</x:f>
        <x:v>HYPERLINK is not implemented. linkLocation=https://img.alicdn.com/bao/uploaded/i2/272205633/O1CN01E1gTlkIGVmD1chua_!!272205633.jpg, friendlyName=查看主图</x:v>
      </x:c>
      <x:c r="O728" s="9" t="str">
        <x:v>标题及既有类目语义复核；[热销补货]金标系列 奚梦瑶同款|欧时力半身裙26秋真丝蕾丝纱裙；原类目及标题已能确认半身裙；展示使用已知大类，未知裙长下沉到结构字段，不强猜长短。</x:v>
      </x:c>
      <x:c r="P728" s="9" t="str">
        <x:v>普通男女装</x:v>
      </x:c>
      <x:c r="Q728" s="9" t="str">
        <x:v>W_SKIRTS_AVGPAID_1500_1600_ANNUAL2026.xlsx</x:v>
      </x:c>
      <x:c r="R728" s="9" t="str">
        <x:v>默认</x:v>
      </x:c>
      <x:c r="S728" s="9" t="n">
        <x:v>13</x:v>
      </x:c>
      <x:c r="T728" s="9" t="str">
        <x:v>deede8b56943df4f914be45dba170f12e69064023d6ef0e88dbde1764f6ba23e</x:v>
      </x:c>
      <x:c r="U728" s="9" t="str">
        <x:v>W_SKIRTS_AVGPAID_1500_1600_ANNUAL2026</x:v>
      </x:c>
      <x:c r="V728" s="9" t="str">
        <x:v>W_SKIRTS_AVGPAID_1500_1600_ANNUAL2026.xlsx / 默认 / 第13行 / SHA256 deede8b56943df4f914be45dba170f12e69064023d6ef0e88dbde1764f6ba23e</x:v>
      </x:c>
    </x:row>
    <x:row r="729" ht="58" customHeight="1">
      <x:c r="A729" s="23" t="str">
        <x:v>1042722510187</x:v>
      </x:c>
      <x:c r="B729" s="22"/>
      <x:c r="C729" s="22"/>
      <x:c r="D729" s="22"/>
      <x:c r="E729" s="9" t="str">
        <x:v>裙长未明确</x:v>
      </x:c>
      <x:c r="F729" s="9" t="str">
        <x:v>裙装</x:v>
      </x:c>
      <x:c r="G729" s="9" t="str">
        <x:v>半身裙</x:v>
      </x:c>
      <x:c r="H729" s="9" t="str">
        <x:v>女</x:v>
      </x:c>
      <x:c r="I729" s="9" t="str">
        <x:v>OCHIRLY欧时力刺绣钉珠a字半裙</x:v>
      </x:c>
      <x:c r="J729" s="9" t="str">
        <x:v>OCHIRLY/欧时力</x:v>
      </x:c>
      <x:c r="K729" s="24" t="n">
        <x:v>1570.06</x:v>
      </x:c>
      <x:c r="L729" s="25" t="e">
        <x:f>HYPERLINK("https://item.taobao.com/item.htm?id=1042722510187","打开商品")</x:f>
        <x:v>HYPERLINK is not implemented. linkLocation=https://item.taobao.com/item.htm?id=1042722510187, friendlyName=打开商品</x:v>
      </x:c>
      <x:c r="M729" s="25" t="e">
        <x:f>HYPERLINK("https://data.zhiyitech.cn/itemDetail/overview/base?itemId=1042722510187","打开知衣")</x:f>
        <x:v>HYPERLINK is not implemented. linkLocation=https://data.zhiyitech.cn/itemDetail/overview/base?itemId=1042722510187, friendlyName=打开知衣</x:v>
      </x:c>
      <x:c r="N729" s="25" t="e">
        <x:f>HYPERLINK("https://img.alicdn.com/bao/uploaded/i2/272205633/O1CN016MpCJDFuxSB1chua_!!272205633.jpg","查看主图")</x:f>
        <x:v>HYPERLINK is not implemented. linkLocation=https://img.alicdn.com/bao/uploaded/i2/272205633/O1CN016MpCJDFuxSB1chua_!!272205633.jpg, friendlyName=查看主图</x:v>
      </x:c>
      <x:c r="O729" s="9" t="str">
        <x:v>标题及既有类目语义复核；OCHIRLY欧时力刺绣钉珠a字半裙；原类目及标题已能确认半身裙；展示使用已知大类，未知裙长下沉到结构字段，不强猜长短。</x:v>
      </x:c>
      <x:c r="P729" s="9" t="str">
        <x:v>普通男女装</x:v>
      </x:c>
      <x:c r="Q729" s="9" t="str">
        <x:v>W_SKIRTS_AVGPAID_1500_1600_ANNUAL2026.xlsx</x:v>
      </x:c>
      <x:c r="R729" s="9" t="str">
        <x:v>默认</x:v>
      </x:c>
      <x:c r="S729" s="9" t="n">
        <x:v>498</x:v>
      </x:c>
      <x:c r="T729" s="9" t="str">
        <x:v>deede8b56943df4f914be45dba170f12e69064023d6ef0e88dbde1764f6ba23e</x:v>
      </x:c>
      <x:c r="U729" s="9" t="str">
        <x:v>W_SKIRTS_AVGPAID_1500_1600_ANNUAL2026</x:v>
      </x:c>
      <x:c r="V729" s="9" t="str">
        <x:v>W_SKIRTS_AVGPAID_1500_1600_ANNUAL2026.xlsx / 默认 / 第498行 / SHA256 deede8b56943df4f914be45dba170f12e69064023d6ef0e88dbde1764f6ba23e</x:v>
      </x:c>
    </x:row>
    <x:row r="730" ht="58" customHeight="1">
      <x:c r="A730" s="23" t="str">
        <x:v>1065641013101</x:v>
      </x:c>
      <x:c r="B730" s="22"/>
      <x:c r="C730" s="22"/>
      <x:c r="D730" s="22"/>
      <x:c r="E730" s="9" t="str">
        <x:v>裙长未明确</x:v>
      </x:c>
      <x:c r="F730" s="9" t="str">
        <x:v>裙装</x:v>
      </x:c>
      <x:c r="G730" s="9" t="str">
        <x:v>半身裙</x:v>
      </x:c>
      <x:c r="H730" s="9" t="str">
        <x:v>女</x:v>
      </x:c>
      <x:c r="I730" s="9" t="str">
        <x:v>[热销补货]金标系列奚梦瑶同款欧时力半裙26秋真丝不对称蕾丝纱裙</x:v>
      </x:c>
      <x:c r="J730" s="9" t="str">
        <x:v>OCHIRLY/欧时力</x:v>
      </x:c>
      <x:c r="K730" s="24" t="n">
        <x:v>1527.43</x:v>
      </x:c>
      <x:c r="L730" s="25" t="e">
        <x:f>HYPERLINK("https://item.taobao.com/item.htm?id=1065641013101","打开商品")</x:f>
        <x:v>HYPERLINK is not implemented. linkLocation=https://item.taobao.com/item.htm?id=1065641013101, friendlyName=打开商品</x:v>
      </x:c>
      <x:c r="M730" s="25" t="e">
        <x:f>HYPERLINK("https://data.zhiyitech.cn/itemDetail/overview/base?itemId=1065641013101","打开知衣")</x:f>
        <x:v>HYPERLINK is not implemented. linkLocation=https://data.zhiyitech.cn/itemDetail/overview/base?itemId=1065641013101, friendlyName=打开知衣</x:v>
      </x:c>
      <x:c r="N730" s="25" t="e">
        <x:f>HYPERLINK("https://img.alicdn.com/bao/uploaded/i3/272205633/O1CN01TvCV8ktUcQE1chua_!!272205633.jpg","查看主图")</x:f>
        <x:v>HYPERLINK is not implemented. linkLocation=https://img.alicdn.com/bao/uploaded/i3/272205633/O1CN01TvCV8ktUcQE1chua_!!272205633.jpg, friendlyName=查看主图</x:v>
      </x:c>
      <x:c r="O730" s="9" t="str">
        <x:v>标题及既有类目语义复核；[热销补货]金标系列奚梦瑶同款欧时力半裙26秋真丝不对称蕾丝纱裙；原类目及标题已能确认半身裙；展示使用已知大类，未知裙长下沉到结构字段，不强猜长短。</x:v>
      </x:c>
      <x:c r="P730" s="9" t="str">
        <x:v>普通男女装</x:v>
      </x:c>
      <x:c r="Q730" s="9" t="str">
        <x:v>W_SKIRTS_AVGPAID_1500_1600_ANNUAL2026.xlsx</x:v>
      </x:c>
      <x:c r="R730" s="9" t="str">
        <x:v>默认</x:v>
      </x:c>
      <x:c r="S730" s="9" t="n">
        <x:v>284</x:v>
      </x:c>
      <x:c r="T730" s="9" t="str">
        <x:v>deede8b56943df4f914be45dba170f12e69064023d6ef0e88dbde1764f6ba23e</x:v>
      </x:c>
      <x:c r="U730" s="9" t="str">
        <x:v>W_SKIRTS_AVGPAID_1500_1600_ANNUAL2026</x:v>
      </x:c>
      <x:c r="V730" s="9" t="str">
        <x:v>W_SKIRTS_AVGPAID_1500_1600_ANNUAL2026.xlsx / 默认 / 第284行 / SHA256 deede8b56943df4f914be45dba170f12e69064023d6ef0e88dbde1764f6ba23e</x:v>
      </x:c>
    </x:row>
    <x:row r="731" ht="58" customHeight="1">
      <x:c r="A731" s="23" t="str">
        <x:v>981478360005</x:v>
      </x:c>
      <x:c r="B731" s="22"/>
      <x:c r="C731" s="22"/>
      <x:c r="D731" s="22"/>
      <x:c r="E731" s="9" t="str">
        <x:v>裙长未明确</x:v>
      </x:c>
      <x:c r="F731" s="9" t="str">
        <x:v>裙装</x:v>
      </x:c>
      <x:c r="G731" s="9" t="str">
        <x:v>半身裙</x:v>
      </x:c>
      <x:c r="H731" s="9" t="str">
        <x:v>女</x:v>
      </x:c>
      <x:c r="I731" s="9" t="str">
        <x:v>OCHIRLY欧时力擦色羊皮直筒半裙</x:v>
      </x:c>
      <x:c r="J731" s="9" t="str">
        <x:v>OCHIRLY/欧时力</x:v>
      </x:c>
      <x:c r="K731" s="24" t="n">
        <x:v>1541.85</x:v>
      </x:c>
      <x:c r="L731" s="25" t="e">
        <x:f>HYPERLINK("https://item.taobao.com/item.htm?id=981478360005","打开商品")</x:f>
        <x:v>HYPERLINK is not implemented. linkLocation=https://item.taobao.com/item.htm?id=981478360005, friendlyName=打开商品</x:v>
      </x:c>
      <x:c r="M731" s="25" t="e">
        <x:f>HYPERLINK("https://data.zhiyitech.cn/itemDetail/overview/base?itemId=981478360005","打开知衣")</x:f>
        <x:v>HYPERLINK is not implemented. linkLocation=https://data.zhiyitech.cn/itemDetail/overview/base?itemId=981478360005, friendlyName=打开知衣</x:v>
      </x:c>
      <x:c r="N731" s="25" t="e">
        <x:f>HYPERLINK("https://img.alicdn.com/bao/uploaded/i3/272205633/O1CN01HdceYM8qgkH1chua_!!272205633.jpg","查看主图")</x:f>
        <x:v>HYPERLINK is not implemented. linkLocation=https://img.alicdn.com/bao/uploaded/i3/272205633/O1CN01HdceYM8qgkH1chua_!!272205633.jpg, friendlyName=查看主图</x:v>
      </x:c>
      <x:c r="O731" s="9" t="str">
        <x:v>标题及既有类目语义复核；OCHIRLY欧时力擦色羊皮直筒半裙；原类目及标题已能确认半身裙；展示使用已知大类，未知裙长下沉到结构字段，不强猜长短。</x:v>
      </x:c>
      <x:c r="P731" s="9" t="str">
        <x:v>普通男女装</x:v>
      </x:c>
      <x:c r="Q731" s="9" t="str">
        <x:v>W_SKIRTS_AVGPAID_1500_1600_ANNUAL2026.xlsx</x:v>
      </x:c>
      <x:c r="R731" s="9" t="str">
        <x:v>默认</x:v>
      </x:c>
      <x:c r="S731" s="9" t="n">
        <x:v>261</x:v>
      </x:c>
      <x:c r="T731" s="9" t="str">
        <x:v>deede8b56943df4f914be45dba170f12e69064023d6ef0e88dbde1764f6ba23e</x:v>
      </x:c>
      <x:c r="U731" s="9" t="str">
        <x:v>W_SKIRTS_AVGPAID_1500_1600_ANNUAL2026</x:v>
      </x:c>
      <x:c r="V731" s="9" t="str">
        <x:v>W_SKIRTS_AVGPAID_1500_1600_ANNUAL2026.xlsx / 默认 / 第261行 / SHA256 deede8b56943df4f914be45dba170f12e69064023d6ef0e88dbde1764f6ba23e</x:v>
      </x:c>
    </x:row>
    <x:row r="732" ht="58" customHeight="1">
      <x:c r="A732" s="23" t="str">
        <x:v>1005144898999</x:v>
      </x:c>
      <x:c r="B732" s="22"/>
      <x:c r="C732" s="22"/>
      <x:c r="D732" s="22"/>
      <x:c r="E732" s="9" t="str">
        <x:v>裙长未明确</x:v>
      </x:c>
      <x:c r="F732" s="9" t="str">
        <x:v>裙装</x:v>
      </x:c>
      <x:c r="G732" s="9" t="str">
        <x:v>半身裙</x:v>
      </x:c>
      <x:c r="H732" s="9" t="str">
        <x:v>女</x:v>
      </x:c>
      <x:c r="I732" s="9" t="str">
        <x:v>mymymy vol.28-撞色格纹色织羊毛开衩半裙</x:v>
      </x:c>
      <x:c r="J732" s="9" t="str">
        <x:v>OHH MYMYMY</x:v>
      </x:c>
      <x:c r="K732" s="24" t="n">
        <x:v>1350</x:v>
      </x:c>
      <x:c r="L732" s="25" t="e">
        <x:f>HYPERLINK("https://item.taobao.com/item.htm?id=1005144898999","打开商品")</x:f>
        <x:v>HYPERLINK is not implemented. linkLocation=https://item.taobao.com/item.htm?id=1005144898999, friendlyName=打开商品</x:v>
      </x:c>
      <x:c r="M732" s="25" t="e">
        <x:f>HYPERLINK("https://data.zhiyitech.cn/itemDetail/overview/base?itemId=1005144898999","打开知衣")</x:f>
        <x:v>HYPERLINK is not implemented. linkLocation=https://data.zhiyitech.cn/itemDetail/overview/base?itemId=1005144898999, friendlyName=打开知衣</x:v>
      </x:c>
      <x:c r="N732" s="25" t="e">
        <x:f>HYPERLINK("https://img.alicdn.com/bao/uploaded/i1/80763206/O1CN01eyzSjx1ZYOtqwgdAn_!!80763206.jpg","查看主图")</x:f>
        <x:v>HYPERLINK is not implemented. linkLocation=https://img.alicdn.com/bao/uploaded/i1/80763206/O1CN01eyzSjx1ZYOtqwgdAn_!!80763206.jpg, friendlyName=查看主图</x:v>
      </x:c>
      <x:c r="O732" s="9" t="str">
        <x:v>标题及既有类目语义复核；mymymy vol.28-撞色格纹色织羊毛开衩半裙；原类目及标题已能确认半身裙；展示使用已知大类，未知裙长下沉到结构字段，不强猜长短。</x:v>
      </x:c>
      <x:c r="P732" s="9" t="str">
        <x:v>普通男女装</x:v>
      </x:c>
      <x:c r="Q732" s="9" t="str">
        <x:v>W_SKIRTS_AVGPAID_1300_1400_ANNUAL2026.xlsx</x:v>
      </x:c>
      <x:c r="R732" s="9" t="str">
        <x:v>默认</x:v>
      </x:c>
      <x:c r="S732" s="9" t="n">
        <x:v>424</x:v>
      </x:c>
      <x:c r="T732" s="9" t="str">
        <x:v>bd4dae1e08e9eca7ddd0669235bf59107cdc418b9c2898fc16f36a7ab5748692</x:v>
      </x:c>
      <x:c r="U732" s="9" t="str">
        <x:v>W_SKIRTS_AVGPAID_1300_1400_ANNUAL2026</x:v>
      </x:c>
      <x:c r="V732" s="9" t="str">
        <x:v>W_SKIRTS_AVGPAID_1300_1400_ANNUAL2026.xlsx / 默认 / 第424行 / SHA256 bd4dae1e08e9eca7ddd0669235bf59107cdc418b9c2898fc16f36a7ab5748692</x:v>
      </x:c>
    </x:row>
    <x:row r="733" ht="58" customHeight="1">
      <x:c r="A733" s="23" t="str">
        <x:v>824551115480</x:v>
      </x:c>
      <x:c r="B733" s="22"/>
      <x:c r="C733" s="22"/>
      <x:c r="D733" s="22"/>
      <x:c r="E733" s="9" t="str">
        <x:v>裙长未明确</x:v>
      </x:c>
      <x:c r="F733" s="9" t="str">
        <x:v>裙装</x:v>
      </x:c>
      <x:c r="G733" s="9" t="str">
        <x:v>半身裙</x:v>
      </x:c>
      <x:c r="H733" s="9" t="str">
        <x:v>女</x:v>
      </x:c>
      <x:c r="I733" s="9" t="str">
        <x:v>OUDE WAAG  优雅设计感垂坠抽褶针织不对称女装半裙</x:v>
      </x:c>
      <x:c r="J733" s="9" t="str">
        <x:v>OUDE WAAG</x:v>
      </x:c>
      <x:c r="K733" s="24" t="n">
        <x:v>1786.74</x:v>
      </x:c>
      <x:c r="L733" s="25" t="e">
        <x:f>HYPERLINK("https://item.taobao.com/item.htm?id=824551115480","打开商品")</x:f>
        <x:v>HYPERLINK is not implemented. linkLocation=https://item.taobao.com/item.htm?id=824551115480, friendlyName=打开商品</x:v>
      </x:c>
      <x:c r="M733" s="25" t="e">
        <x:f>HYPERLINK("https://data.zhiyitech.cn/itemDetail/overview/base?itemId=824551115480","打开知衣")</x:f>
        <x:v>HYPERLINK is not implemented. linkLocation=https://data.zhiyitech.cn/itemDetail/overview/base?itemId=824551115480, friendlyName=打开知衣</x:v>
      </x:c>
      <x:c r="N733" s="25" t="e">
        <x:f>HYPERLINK("https://img.alicdn.com/bao/uploaded/i4/2218257133624/O1CN010Wcdbs1cdqK5eZEzv_!!0-item_pic.jpg","查看主图")</x:f>
        <x:v>HYPERLINK is not implemented. linkLocation=https://img.alicdn.com/bao/uploaded/i4/2218257133624/O1CN010Wcdbs1cdqK5eZEzv_!!0-item_pic.jpg, friendlyName=查看主图</x:v>
      </x:c>
      <x:c r="O733" s="9" t="str">
        <x:v>标题及既有类目语义复核；OUDE WAAG  优雅设计感垂坠抽褶针织不对称女装半裙；原类目及标题已能确认半身裙；展示使用已知大类，未知裙长下沉到结构字段，不强猜长短。</x:v>
      </x:c>
      <x:c r="P733" s="9" t="str">
        <x:v>普通男女装</x:v>
      </x:c>
      <x:c r="Q733" s="9" t="str">
        <x:v>W_SKIRTS_AVGPAID_1700_1800_ANNUAL2026.xlsx</x:v>
      </x:c>
      <x:c r="R733" s="9" t="str">
        <x:v>默认</x:v>
      </x:c>
      <x:c r="S733" s="9" t="n">
        <x:v>495</x:v>
      </x:c>
      <x:c r="T733" s="9" t="str">
        <x:v>c25ed77c53c7c5cfcf728778a0e9b297d8689503f62756a939cbd534ca9b587a</x:v>
      </x:c>
      <x:c r="U733" s="9" t="str">
        <x:v>W_SKIRTS_AVGPAID_1700_1800_ANNUAL2026</x:v>
      </x:c>
      <x:c r="V733" s="9" t="str">
        <x:v>W_SKIRTS_AVGPAID_1700_1800_ANNUAL2026.xlsx / 默认 / 第495行 / SHA256 c25ed77c53c7c5cfcf728778a0e9b297d8689503f62756a939cbd534ca9b587a</x:v>
      </x:c>
    </x:row>
    <x:row r="734" ht="58" customHeight="1">
      <x:c r="A734" s="23" t="str">
        <x:v>900648453073</x:v>
      </x:c>
      <x:c r="B734" s="22"/>
      <x:c r="C734" s="22"/>
      <x:c r="D734" s="22"/>
      <x:c r="E734" s="9" t="str">
        <x:v>裙长未明确</x:v>
      </x:c>
      <x:c r="F734" s="9" t="str">
        <x:v>裙装</x:v>
      </x:c>
      <x:c r="G734" s="9" t="str">
        <x:v>半身裙</x:v>
      </x:c>
      <x:c r="H734" s="9" t="str">
        <x:v>女</x:v>
      </x:c>
      <x:c r="I734" s="9" t="str">
        <x:v>OUDE WAAG 25春夏 优雅随性气质不对称垂坠女装半裙</x:v>
      </x:c>
      <x:c r="J734" s="9" t="str">
        <x:v>OUDE WAAG</x:v>
      </x:c>
      <x:c r="K734" s="24" t="n">
        <x:v>1710.89</x:v>
      </x:c>
      <x:c r="L734" s="25" t="e">
        <x:f>HYPERLINK("https://item.taobao.com/item.htm?id=900648453073","打开商品")</x:f>
        <x:v>HYPERLINK is not implemented. linkLocation=https://item.taobao.com/item.htm?id=900648453073, friendlyName=打开商品</x:v>
      </x:c>
      <x:c r="M734" s="25" t="e">
        <x:f>HYPERLINK("https://data.zhiyitech.cn/itemDetail/overview/base?itemId=900648453073","打开知衣")</x:f>
        <x:v>HYPERLINK is not implemented. linkLocation=https://data.zhiyitech.cn/itemDetail/overview/base?itemId=900648453073, friendlyName=打开知衣</x:v>
      </x:c>
      <x:c r="N734" s="25" t="e">
        <x:f>HYPERLINK("https://img.alicdn.com/bao/uploaded/i2/2218257133624/O1CN01zaepQD1cdqNrUtXfs_!!4611686018427383864-0-item_pic.jpg","查看主图")</x:f>
        <x:v>HYPERLINK is not implemented. linkLocation=https://img.alicdn.com/bao/uploaded/i2/2218257133624/O1CN01zaepQD1cdqNrUtXfs_!!4611686018427383864-0-item_pic.jpg, friendlyName=查看主图</x:v>
      </x:c>
      <x:c r="O734" s="9" t="str">
        <x:v>标题及既有类目语义复核；OUDE WAAG 25春夏 优雅随性气质不对称垂坠女装半裙；原类目及标题已能确认半身裙；展示使用已知大类，未知裙长下沉到结构字段，不强猜长短。</x:v>
      </x:c>
      <x:c r="P734" s="9" t="str">
        <x:v>普通男女装</x:v>
      </x:c>
      <x:c r="Q734" s="9" t="str">
        <x:v>W_SKIRTS_AVGPAID_1700_1800_ANNUAL2026.xlsx</x:v>
      </x:c>
      <x:c r="R734" s="9" t="str">
        <x:v>默认</x:v>
      </x:c>
      <x:c r="S734" s="9" t="n">
        <x:v>424</x:v>
      </x:c>
      <x:c r="T734" s="9" t="str">
        <x:v>c25ed77c53c7c5cfcf728778a0e9b297d8689503f62756a939cbd534ca9b587a</x:v>
      </x:c>
      <x:c r="U734" s="9" t="str">
        <x:v>W_SKIRTS_AVGPAID_1700_1800_ANNUAL2026</x:v>
      </x:c>
      <x:c r="V734" s="9" t="str">
        <x:v>W_SKIRTS_AVGPAID_1700_1800_ANNUAL2026.xlsx / 默认 / 第424行 / SHA256 c25ed77c53c7c5cfcf728778a0e9b297d8689503f62756a939cbd534ca9b587a</x:v>
      </x:c>
    </x:row>
    <x:row r="735" ht="58" customHeight="1">
      <x:c r="A735" s="23" t="str">
        <x:v>1000727783957</x:v>
      </x:c>
      <x:c r="B735" s="22"/>
      <x:c r="C735" s="22"/>
      <x:c r="D735" s="22"/>
      <x:c r="E735" s="9" t="str">
        <x:v>裙长未明确</x:v>
      </x:c>
      <x:c r="F735" s="9" t="str">
        <x:v>裙装</x:v>
      </x:c>
      <x:c r="G735" s="9" t="str">
        <x:v>半身裙</x:v>
      </x:c>
      <x:c r="H735" s="9" t="str">
        <x:v>女</x:v>
      </x:c>
      <x:c r="I735" s="9" t="str">
        <x:v>轮廓苍洛新中式半身裙</x:v>
      </x:c>
      <x:c r="J735" s="9" t="str">
        <x:v>OUTLINE/轮廓</x:v>
      </x:c>
      <x:c r="K735" s="24" t="n">
        <x:v>1308.7</x:v>
      </x:c>
      <x:c r="L735" s="25" t="e">
        <x:f>HYPERLINK("https://item.taobao.com/item.htm?id=1000727783957","打开商品")</x:f>
        <x:v>HYPERLINK is not implemented. linkLocation=https://item.taobao.com/item.htm?id=1000727783957, friendlyName=打开商品</x:v>
      </x:c>
      <x:c r="M735" s="25" t="e">
        <x:f>HYPERLINK("https://data.zhiyitech.cn/itemDetail/overview/base?itemId=1000727783957","打开知衣")</x:f>
        <x:v>HYPERLINK is not implemented. linkLocation=https://data.zhiyitech.cn/itemDetail/overview/base?itemId=1000727783957, friendlyName=打开知衣</x:v>
      </x:c>
      <x:c r="N735" s="25" t="e">
        <x:f>HYPERLINK("https://img.alicdn.com/bao/uploaded/i3/2077946182/O1CN01rcizrL1vXPabIbr1p_!!4611686018427384134-0-item_pic.jpg","查看主图")</x:f>
        <x:v>HYPERLINK is not implemented. linkLocation=https://img.alicdn.com/bao/uploaded/i3/2077946182/O1CN01rcizrL1vXPabIbr1p_!!4611686018427384134-0-item_pic.jpg, friendlyName=查看主图</x:v>
      </x:c>
      <x:c r="O735" s="9" t="str">
        <x:v>标题及既有类目语义复核；轮廓苍洛新中式半身裙；原类目及标题已能确认半身裙；展示使用已知大类，未知裙长下沉到结构字段，不强猜长短。</x:v>
      </x:c>
      <x:c r="P735" s="9" t="str">
        <x:v>普通男女装</x:v>
      </x:c>
      <x:c r="Q735" s="9" t="str">
        <x:v>W_SKIRTS_AVGPAID_1300_1400_ANNUAL2026.xlsx</x:v>
      </x:c>
      <x:c r="R735" s="9" t="str">
        <x:v>默认</x:v>
      </x:c>
      <x:c r="S735" s="9" t="n">
        <x:v>403</x:v>
      </x:c>
      <x:c r="T735" s="9" t="str">
        <x:v>bd4dae1e08e9eca7ddd0669235bf59107cdc418b9c2898fc16f36a7ab5748692</x:v>
      </x:c>
      <x:c r="U735" s="9" t="str">
        <x:v>W_SKIRTS_AVGPAID_1300_1400_ANNUAL2026</x:v>
      </x:c>
      <x:c r="V735" s="9" t="str">
        <x:v>W_SKIRTS_AVGPAID_1300_1400_ANNUAL2026.xlsx / 默认 / 第403行 / SHA256 bd4dae1e08e9eca7ddd0669235bf59107cdc418b9c2898fc16f36a7ab5748692</x:v>
      </x:c>
    </x:row>
    <x:row r="736" ht="58" customHeight="1">
      <x:c r="A736" s="23" t="str">
        <x:v>1016849548698</x:v>
      </x:c>
      <x:c r="B736" s="22"/>
      <x:c r="C736" s="22"/>
      <x:c r="D736" s="22"/>
      <x:c r="E736" s="9" t="str">
        <x:v>裙长未明确</x:v>
      </x:c>
      <x:c r="F736" s="9" t="str">
        <x:v>裙装</x:v>
      </x:c>
      <x:c r="G736" s="9" t="str">
        <x:v>半身裙</x:v>
      </x:c>
      <x:c r="H736" s="9" t="str">
        <x:v>女</x:v>
      </x:c>
      <x:c r="I736" s="9" t="str">
        <x:v>OUTLINE/轮廓黑玫瑰半裙2026新款高定立体绣花苞裙宴会女原创设计</x:v>
      </x:c>
      <x:c r="J736" s="9" t="str">
        <x:v>OUTLINE/轮廓</x:v>
      </x:c>
      <x:c r="K736" s="24" t="n">
        <x:v>1509.05</x:v>
      </x:c>
      <x:c r="L736" s="25" t="e">
        <x:f>HYPERLINK("https://item.taobao.com/item.htm?id=1016849548698","打开商品")</x:f>
        <x:v>HYPERLINK is not implemented. linkLocation=https://item.taobao.com/item.htm?id=1016849548698, friendlyName=打开商品</x:v>
      </x:c>
      <x:c r="M736" s="25" t="e">
        <x:f>HYPERLINK("https://data.zhiyitech.cn/itemDetail/overview/base?itemId=1016849548698","打开知衣")</x:f>
        <x:v>HYPERLINK is not implemented. linkLocation=https://data.zhiyitech.cn/itemDetail/overview/base?itemId=1016849548698, friendlyName=打开知衣</x:v>
      </x:c>
      <x:c r="N736" s="25" t="e">
        <x:f>HYPERLINK("https://img.alicdn.com/bao/uploaded/i1/2077946182/O1CN01xadDgZo1s0K2vH2e_!!2077946182.jpg","查看主图")</x:f>
        <x:v>HYPERLINK is not implemented. linkLocation=https://img.alicdn.com/bao/uploaded/i1/2077946182/O1CN01xadDgZo1s0K2vH2e_!!2077946182.jpg, friendlyName=查看主图</x:v>
      </x:c>
      <x:c r="O736" s="9" t="str">
        <x:v>标题及既有类目语义复核；OUTLINE/轮廓黑玫瑰半裙2026新款高定立体绣花苞裙宴会女原创设计；原类目及标题已能确认半身裙；展示使用已知大类，未知裙长下沉到结构字段，不强猜长短。</x:v>
      </x:c>
      <x:c r="P736" s="9" t="str">
        <x:v>普通男女装</x:v>
      </x:c>
      <x:c r="Q736" s="9" t="str">
        <x:v>W_SKIRTS_AVGPAID_1500_1600_ANNUAL2026.xlsx</x:v>
      </x:c>
      <x:c r="R736" s="9" t="str">
        <x:v>默认</x:v>
      </x:c>
      <x:c r="S736" s="9" t="n">
        <x:v>245</x:v>
      </x:c>
      <x:c r="T736" s="9" t="str">
        <x:v>deede8b56943df4f914be45dba170f12e69064023d6ef0e88dbde1764f6ba23e</x:v>
      </x:c>
      <x:c r="U736" s="9" t="str">
        <x:v>W_SKIRTS_AVGPAID_1500_1600_ANNUAL2026</x:v>
      </x:c>
      <x:c r="V736" s="9" t="str">
        <x:v>W_SKIRTS_AVGPAID_1500_1600_ANNUAL2026.xlsx / 默认 / 第245行 / SHA256 deede8b56943df4f914be45dba170f12e69064023d6ef0e88dbde1764f6ba23e</x:v>
      </x:c>
    </x:row>
    <x:row r="737" ht="58" customHeight="1">
      <x:c r="A737" s="23" t="str">
        <x:v>1058846706190</x:v>
      </x:c>
      <x:c r="B737" s="22"/>
      <x:c r="C737" s="22"/>
      <x:c r="D737" s="22"/>
      <x:c r="E737" s="9" t="str">
        <x:v>裙长未明确</x:v>
      </x:c>
      <x:c r="F737" s="9" t="str">
        <x:v>裙装</x:v>
      </x:c>
      <x:c r="G737" s="9" t="str">
        <x:v>半身裙</x:v>
      </x:c>
      <x:c r="H737" s="9" t="str">
        <x:v>女</x:v>
      </x:c>
      <x:c r="I737" s="9" t="str">
        <x:v>轮廓椿山复古印花原创温柔半裙</x:v>
      </x:c>
      <x:c r="J737" s="9" t="str">
        <x:v>OUTLINE/轮廓</x:v>
      </x:c>
      <x:c r="K737" s="24" t="n">
        <x:v>1516.33</x:v>
      </x:c>
      <x:c r="L737" s="25" t="e">
        <x:f>HYPERLINK("https://item.taobao.com/item.htm?id=1058846706190","打开商品")</x:f>
        <x:v>HYPERLINK is not implemented. linkLocation=https://item.taobao.com/item.htm?id=1058846706190, friendlyName=打开商品</x:v>
      </x:c>
      <x:c r="M737" s="25" t="e">
        <x:f>HYPERLINK("https://data.zhiyitech.cn/itemDetail/overview/base?itemId=1058846706190","打开知衣")</x:f>
        <x:v>HYPERLINK is not implemented. linkLocation=https://data.zhiyitech.cn/itemDetail/overview/base?itemId=1058846706190, friendlyName=打开知衣</x:v>
      </x:c>
      <x:c r="N737" s="25" t="e">
        <x:f>HYPERLINK("https://img.alicdn.com/bao/uploaded/i2/2077946182/O1CN01ZvQVQ31vXPctIJnTn_!!4611686018427384134-0-item_pic.jpg","查看主图")</x:f>
        <x:v>HYPERLINK is not implemented. linkLocation=https://img.alicdn.com/bao/uploaded/i2/2077946182/O1CN01ZvQVQ31vXPctIJnTn_!!4611686018427384134-0-item_pic.jpg, friendlyName=查看主图</x:v>
      </x:c>
      <x:c r="O737" s="9" t="str">
        <x:v>标题及既有类目语义复核；轮廓椿山复古印花原创温柔半裙；原类目及标题已能确认半身裙；展示使用已知大类，未知裙长下沉到结构字段，不强猜长短。</x:v>
      </x:c>
      <x:c r="P737" s="9" t="str">
        <x:v>普通男女装</x:v>
      </x:c>
      <x:c r="Q737" s="9" t="str">
        <x:v>W_SKIRTS_AVGPAID_1500_1600_ANNUAL2026.xlsx</x:v>
      </x:c>
      <x:c r="R737" s="9" t="str">
        <x:v>默认</x:v>
      </x:c>
      <x:c r="S737" s="9" t="n">
        <x:v>371</x:v>
      </x:c>
      <x:c r="T737" s="9" t="str">
        <x:v>deede8b56943df4f914be45dba170f12e69064023d6ef0e88dbde1764f6ba23e</x:v>
      </x:c>
      <x:c r="U737" s="9" t="str">
        <x:v>W_SKIRTS_AVGPAID_1500_1600_ANNUAL2026</x:v>
      </x:c>
      <x:c r="V737" s="9" t="str">
        <x:v>W_SKIRTS_AVGPAID_1500_1600_ANNUAL2026.xlsx / 默认 / 第371行 / SHA256 deede8b56943df4f914be45dba170f12e69064023d6ef0e88dbde1764f6ba23e</x:v>
      </x:c>
    </x:row>
    <x:row r="738" ht="58" customHeight="1">
      <x:c r="A738" s="23" t="str">
        <x:v>1006235023695</x:v>
      </x:c>
      <x:c r="B738" s="22"/>
      <x:c r="C738" s="22"/>
      <x:c r="D738" s="22"/>
      <x:c r="E738" s="9" t="str">
        <x:v>裙长未明确</x:v>
      </x:c>
      <x:c r="F738" s="9" t="str">
        <x:v>裙装</x:v>
      </x:c>
      <x:c r="G738" s="9" t="str">
        <x:v>半身裙</x:v>
      </x:c>
      <x:c r="H738" s="9" t="str">
        <x:v>女</x:v>
      </x:c>
      <x:c r="I738" s="9" t="str">
        <x:v>OVV2026春夏新款女装易打理简约优雅大裙摆百褶半身裙</x:v>
      </x:c>
      <x:c r="J738" s="9" t="str">
        <x:v>OVV</x:v>
      </x:c>
      <x:c r="K738" s="24" t="n">
        <x:v>1549.88</x:v>
      </x:c>
      <x:c r="L738" s="25" t="e">
        <x:f>HYPERLINK("https://item.taobao.com/item.htm?id=1006235023695","打开商品")</x:f>
        <x:v>HYPERLINK is not implemented. linkLocation=https://item.taobao.com/item.htm?id=1006235023695, friendlyName=打开商品</x:v>
      </x:c>
      <x:c r="M738" s="25" t="e">
        <x:f>HYPERLINK("https://data.zhiyitech.cn/itemDetail/overview/base?itemId=1006235023695","打开知衣")</x:f>
        <x:v>HYPERLINK is not implemented. linkLocation=https://data.zhiyitech.cn/itemDetail/overview/base?itemId=1006235023695, friendlyName=打开知衣</x:v>
      </x:c>
      <x:c r="N738" s="25" t="e">
        <x:f>HYPERLINK("https://img.alicdn.com/bao/uploaded/i1/3434046473/O1CN01MSpd2D1xggrycVdvR_!!4611686018427380745-0-item_pic.jpg","查看主图")</x:f>
        <x:v>HYPERLINK is not implemented. linkLocation=https://img.alicdn.com/bao/uploaded/i1/3434046473/O1CN01MSpd2D1xggrycVdvR_!!4611686018427380745-0-item_pic.jpg, friendlyName=查看主图</x:v>
      </x:c>
      <x:c r="O738" s="9" t="str">
        <x:v>标题及既有类目语义复核；OVV2026春夏新款女装易打理简约优雅大裙摆百褶半身裙；原类目及标题已能确认半身裙；展示使用已知大类，未知裙长下沉到结构字段，不强猜长短。</x:v>
      </x:c>
      <x:c r="P738" s="9" t="str">
        <x:v>普通男女装</x:v>
      </x:c>
      <x:c r="Q738" s="9" t="str">
        <x:v>W_SKIRTS_AVGPAID_1500_1600_ANNUAL2026.xlsx</x:v>
      </x:c>
      <x:c r="R738" s="9" t="str">
        <x:v>默认</x:v>
      </x:c>
      <x:c r="S738" s="9" t="n">
        <x:v>335</x:v>
      </x:c>
      <x:c r="T738" s="9" t="str">
        <x:v>deede8b56943df4f914be45dba170f12e69064023d6ef0e88dbde1764f6ba23e</x:v>
      </x:c>
      <x:c r="U738" s="9" t="str">
        <x:v>W_SKIRTS_AVGPAID_1500_1600_ANNUAL2026</x:v>
      </x:c>
      <x:c r="V738" s="9" t="str">
        <x:v>W_SKIRTS_AVGPAID_1500_1600_ANNUAL2026.xlsx / 默认 / 第335行 / SHA256 deede8b56943df4f914be45dba170f12e69064023d6ef0e88dbde1764f6ba23e</x:v>
      </x:c>
    </x:row>
    <x:row r="739" ht="58" customHeight="1">
      <x:c r="A739" s="23" t="str">
        <x:v>896145308466</x:v>
      </x:c>
      <x:c r="B739" s="22"/>
      <x:c r="C739" s="22"/>
      <x:c r="D739" s="22"/>
      <x:c r="E739" s="9" t="str">
        <x:v>裙长未明确</x:v>
      </x:c>
      <x:c r="F739" s="9" t="str">
        <x:v>裙装</x:v>
      </x:c>
      <x:c r="G739" s="9" t="str">
        <x:v>半身裙</x:v>
      </x:c>
      <x:c r="H739" s="9" t="str">
        <x:v>女</x:v>
      </x:c>
      <x:c r="I739" s="9" t="str">
        <x:v>PAJA浆果系列双宫绸半身裙女时装感极简松弛优雅低腰A字真丝半裙</x:v>
      </x:c>
      <x:c r="J739" s="9" t="str">
        <x:v>PAJA</x:v>
      </x:c>
      <x:c r="K739" s="24" t="n">
        <x:v>1555.97</x:v>
      </x:c>
      <x:c r="L739" s="25" t="e">
        <x:f>HYPERLINK("https://item.taobao.com/item.htm?id=896145308466","打开商品")</x:f>
        <x:v>HYPERLINK is not implemented. linkLocation=https://item.taobao.com/item.htm?id=896145308466, friendlyName=打开商品</x:v>
      </x:c>
      <x:c r="M739" s="25" t="e">
        <x:f>HYPERLINK("https://data.zhiyitech.cn/itemDetail/overview/base?itemId=896145308466","打开知衣")</x:f>
        <x:v>HYPERLINK is not implemented. linkLocation=https://data.zhiyitech.cn/itemDetail/overview/base?itemId=896145308466, friendlyName=打开知衣</x:v>
      </x:c>
      <x:c r="N739" s="25" t="e">
        <x:f>HYPERLINK("https://img.alicdn.com/bao/uploaded/i2/2210848876507/O1CN01tAYVqI1xwGElTlOpI_!!4611686018427381723-0-item_pic.jpg","查看主图")</x:f>
        <x:v>HYPERLINK is not implemented. linkLocation=https://img.alicdn.com/bao/uploaded/i2/2210848876507/O1CN01tAYVqI1xwGElTlOpI_!!4611686018427381723-0-item_pic.jpg, friendlyName=查看主图</x:v>
      </x:c>
      <x:c r="O739" s="9" t="str">
        <x:v>标题及既有类目语义复核；PAJA浆果系列双宫绸半身裙女时装感极简松弛优雅低腰A字真丝半裙；原类目及标题已能确认半身裙；展示使用已知大类，未知裙长下沉到结构字段，不强猜长短。</x:v>
      </x:c>
      <x:c r="P739" s="9" t="str">
        <x:v>普通男女装</x:v>
      </x:c>
      <x:c r="Q739" s="9" t="str">
        <x:v>W_SKIRTS_AVGPAID_1500_1600_ANNUAL2026.xlsx</x:v>
      </x:c>
      <x:c r="R739" s="9" t="str">
        <x:v>默认</x:v>
      </x:c>
      <x:c r="S739" s="9" t="n">
        <x:v>269</x:v>
      </x:c>
      <x:c r="T739" s="9" t="str">
        <x:v>deede8b56943df4f914be45dba170f12e69064023d6ef0e88dbde1764f6ba23e</x:v>
      </x:c>
      <x:c r="U739" s="9" t="str">
        <x:v>W_SKIRTS_AVGPAID_1500_1600_ANNUAL2026</x:v>
      </x:c>
      <x:c r="V739" s="9" t="str">
        <x:v>W_SKIRTS_AVGPAID_1500_1600_ANNUAL2026.xlsx / 默认 / 第269行 / SHA256 deede8b56943df4f914be45dba170f12e69064023d6ef0e88dbde1764f6ba23e</x:v>
      </x:c>
    </x:row>
    <x:row r="740" ht="58" customHeight="1">
      <x:c r="A740" s="23" t="str">
        <x:v>1007497615552</x:v>
      </x:c>
      <x:c r="B740" s="22"/>
      <x:c r="C740" s="22"/>
      <x:c r="D740" s="22"/>
      <x:c r="E740" s="9" t="str">
        <x:v>裙长未明确</x:v>
      </x:c>
      <x:c r="F740" s="9" t="str">
        <x:v>裙装</x:v>
      </x:c>
      <x:c r="G740" s="9" t="str">
        <x:v>半身裙</x:v>
      </x:c>
      <x:c r="H740" s="9" t="str">
        <x:v>女</x:v>
      </x:c>
      <x:c r="I740" s="9" t="str">
        <x:v>Petit Schan小闪 摇曳 意大利亚麻混纺抽绳松紧腰脏染大摆量伞裙</x:v>
      </x:c>
      <x:c r="J740" s="9" t="str">
        <x:v>PETIT SCHAN/小闪</x:v>
      </x:c>
      <x:c r="K740" s="24" t="n">
        <x:v>1550.34</x:v>
      </x:c>
      <x:c r="L740" s="25" t="e">
        <x:f>HYPERLINK("https://item.taobao.com/item.htm?id=1007497615552","打开商品")</x:f>
        <x:v>HYPERLINK is not implemented. linkLocation=https://item.taobao.com/item.htm?id=1007497615552, friendlyName=打开商品</x:v>
      </x:c>
      <x:c r="M740" s="25" t="e">
        <x:f>HYPERLINK("https://data.zhiyitech.cn/itemDetail/overview/base?itemId=1007497615552","打开知衣")</x:f>
        <x:v>HYPERLINK is not implemented. linkLocation=https://data.zhiyitech.cn/itemDetail/overview/base?itemId=1007497615552, friendlyName=打开知衣</x:v>
      </x:c>
      <x:c r="N740" s="25" t="e">
        <x:f>HYPERLINK("https://img.alicdn.com/bao/uploaded/i3/2215343552180/O1CN01DzhgTs1RyUXaCtwjV_!!4611686018427385524-0-item_pic.jpg","查看主图")</x:f>
        <x:v>HYPERLINK is not implemented. linkLocation=https://img.alicdn.com/bao/uploaded/i3/2215343552180/O1CN01DzhgTs1RyUXaCtwjV_!!4611686018427385524-0-item_pic.jpg, friendlyName=查看主图</x:v>
      </x:c>
      <x:c r="O740" s="9" t="str">
        <x:v>标题及既有类目语义复核；Petit Schan小闪 摇曳 意大利亚麻混纺抽绳松紧腰脏染大摆量伞裙；原类目及标题已能确认半身裙；展示使用已知大类，未知裙长下沉到结构字段，不强猜长短。</x:v>
      </x:c>
      <x:c r="P740" s="9" t="str">
        <x:v>普通男女装</x:v>
      </x:c>
      <x:c r="Q740" s="9" t="str">
        <x:v>W_SKIRTS_AVGPAID_1500_1600_ANNUAL2026.xlsx</x:v>
      </x:c>
      <x:c r="R740" s="9" t="str">
        <x:v>默认</x:v>
      </x:c>
      <x:c r="S740" s="9" t="n">
        <x:v>96</x:v>
      </x:c>
      <x:c r="T740" s="9" t="str">
        <x:v>deede8b56943df4f914be45dba170f12e69064023d6ef0e88dbde1764f6ba23e</x:v>
      </x:c>
      <x:c r="U740" s="9" t="str">
        <x:v>W_SKIRTS_AVGPAID_1500_1600_ANNUAL2026</x:v>
      </x:c>
      <x:c r="V740" s="9" t="str">
        <x:v>W_SKIRTS_AVGPAID_1500_1600_ANNUAL2026.xlsx / 默认 / 第96行 / SHA256 deede8b56943df4f914be45dba170f12e69064023d6ef0e88dbde1764f6ba23e</x:v>
      </x:c>
    </x:row>
    <x:row r="741" ht="58" customHeight="1">
      <x:c r="A741" s="23" t="str">
        <x:v>1046568456247</x:v>
      </x:c>
      <x:c r="B741" s="22"/>
      <x:c r="C741" s="22"/>
      <x:c r="D741" s="22"/>
      <x:c r="E741" s="9" t="str">
        <x:v>裙长未明确</x:v>
      </x:c>
      <x:c r="F741" s="9" t="str">
        <x:v>裙装</x:v>
      </x:c>
      <x:c r="G741" s="9" t="str">
        <x:v>半身裙</x:v>
      </x:c>
      <x:c r="H741" s="9" t="str">
        <x:v>女</x:v>
      </x:c>
      <x:c r="I741" s="9" t="str">
        <x:v>Petit Schan小闪 花间小路日本进口纯棉盐缩碎花抽绳松紧腰半身裙</x:v>
      </x:c>
      <x:c r="J741" s="9" t="str">
        <x:v>PETIT SCHAN/小闪</x:v>
      </x:c>
      <x:c r="K741" s="24" t="n">
        <x:v>1350.19</x:v>
      </x:c>
      <x:c r="L741" s="25" t="e">
        <x:f>HYPERLINK("https://item.taobao.com/item.htm?id=1046568456247","打开商品")</x:f>
        <x:v>HYPERLINK is not implemented. linkLocation=https://item.taobao.com/item.htm?id=1046568456247, friendlyName=打开商品</x:v>
      </x:c>
      <x:c r="M741" s="25" t="e">
        <x:f>HYPERLINK("https://data.zhiyitech.cn/itemDetail/overview/base?itemId=1046568456247","打开知衣")</x:f>
        <x:v>HYPERLINK is not implemented. linkLocation=https://data.zhiyitech.cn/itemDetail/overview/base?itemId=1046568456247, friendlyName=打开知衣</x:v>
      </x:c>
      <x:c r="N741" s="25" t="e">
        <x:f>HYPERLINK("https://img.alicdn.com/bao/uploaded/i4/2215343552180/O1CN01wsxEik1RyUZTLyHIV_!!4611686018427385524-0-item_pic.jpg","查看主图")</x:f>
        <x:v>HYPERLINK is not implemented. linkLocation=https://img.alicdn.com/bao/uploaded/i4/2215343552180/O1CN01wsxEik1RyUZTLyHIV_!!4611686018427385524-0-item_pic.jpg, friendlyName=查看主图</x:v>
      </x:c>
      <x:c r="O741" s="9" t="str">
        <x:v>标题及既有类目语义复核；Petit Schan小闪 花间小路日本进口纯棉盐缩碎花抽绳松紧腰半身裙；原类目及标题已能确认半身裙；展示使用已知大类，未知裙长下沉到结构字段，不强猜长短。</x:v>
      </x:c>
      <x:c r="P741" s="9" t="str">
        <x:v>普通男女装</x:v>
      </x:c>
      <x:c r="Q741" s="9" t="str">
        <x:v>W_SKIRTS_AVGPAID_1300_1400_ANNUAL2026.xlsx</x:v>
      </x:c>
      <x:c r="R741" s="9" t="str">
        <x:v>默认</x:v>
      </x:c>
      <x:c r="S741" s="9" t="n">
        <x:v>57</x:v>
      </x:c>
      <x:c r="T741" s="9" t="str">
        <x:v>bd4dae1e08e9eca7ddd0669235bf59107cdc418b9c2898fc16f36a7ab5748692</x:v>
      </x:c>
      <x:c r="U741" s="9" t="str">
        <x:v>W_SKIRTS_AVGPAID_1300_1400_ANNUAL2026</x:v>
      </x:c>
      <x:c r="V741" s="9" t="str">
        <x:v>W_SKIRTS_AVGPAID_1300_1400_ANNUAL2026.xlsx / 默认 / 第57行 / SHA256 bd4dae1e08e9eca7ddd0669235bf59107cdc418b9c2898fc16f36a7ab5748692</x:v>
      </x:c>
    </x:row>
    <x:row r="742" ht="58" customHeight="1">
      <x:c r="A742" s="23" t="str">
        <x:v>991985015331</x:v>
      </x:c>
      <x:c r="B742" s="22"/>
      <x:c r="C742" s="22"/>
      <x:c r="D742" s="22"/>
      <x:c r="E742" s="9" t="str">
        <x:v>裙长未明确</x:v>
      </x:c>
      <x:c r="F742" s="9" t="str">
        <x:v>裙装</x:v>
      </x:c>
      <x:c r="G742" s="9" t="str">
        <x:v>半身裙</x:v>
      </x:c>
      <x:c r="H742" s="9" t="str">
        <x:v>女</x:v>
      </x:c>
      <x:c r="I742" s="9" t="str">
        <x:v>Petit Schan小闪 雾里花 日本进口棉灯芯绒扎染压褶半裙</x:v>
      </x:c>
      <x:c r="J742" s="9" t="str">
        <x:v>PETIT SCHAN/小闪</x:v>
      </x:c>
      <x:c r="K742" s="24" t="n">
        <x:v>1550</x:v>
      </x:c>
      <x:c r="L742" s="25" t="e">
        <x:f>HYPERLINK("https://item.taobao.com/item.htm?id=991985015331","打开商品")</x:f>
        <x:v>HYPERLINK is not implemented. linkLocation=https://item.taobao.com/item.htm?id=991985015331, friendlyName=打开商品</x:v>
      </x:c>
      <x:c r="M742" s="25" t="e">
        <x:f>HYPERLINK("https://data.zhiyitech.cn/itemDetail/overview/base?itemId=991985015331","打开知衣")</x:f>
        <x:v>HYPERLINK is not implemented. linkLocation=https://data.zhiyitech.cn/itemDetail/overview/base?itemId=991985015331, friendlyName=打开知衣</x:v>
      </x:c>
      <x:c r="N742" s="25" t="e">
        <x:f>HYPERLINK("https://img.alicdn.com/bao/uploaded/i2/2215343552180/O1CN01nNu9ll1RyUWk3Q48L_!!4611686018427385524-0-item_pic.jpg","查看主图")</x:f>
        <x:v>HYPERLINK is not implemented. linkLocation=https://img.alicdn.com/bao/uploaded/i2/2215343552180/O1CN01nNu9ll1RyUWk3Q48L_!!4611686018427385524-0-item_pic.jpg, friendlyName=查看主图</x:v>
      </x:c>
      <x:c r="O742" s="9" t="str">
        <x:v>标题及既有类目语义复核；Petit Schan小闪 雾里花 日本进口棉灯芯绒扎染压褶半裙；原类目及标题已能确认半身裙；展示使用已知大类，未知裙长下沉到结构字段，不强猜长短。</x:v>
      </x:c>
      <x:c r="P742" s="9" t="str">
        <x:v>普通男女装</x:v>
      </x:c>
      <x:c r="Q742" s="9" t="str">
        <x:v>W_SKIRTS_AVGPAID_1500_1600_ANNUAL2026.xlsx</x:v>
      </x:c>
      <x:c r="R742" s="9" t="str">
        <x:v>默认</x:v>
      </x:c>
      <x:c r="S742" s="9" t="n">
        <x:v>447</x:v>
      </x:c>
      <x:c r="T742" s="9" t="str">
        <x:v>deede8b56943df4f914be45dba170f12e69064023d6ef0e88dbde1764f6ba23e</x:v>
      </x:c>
      <x:c r="U742" s="9" t="str">
        <x:v>W_SKIRTS_AVGPAID_1500_1600_ANNUAL2026</x:v>
      </x:c>
      <x:c r="V742" s="9" t="str">
        <x:v>W_SKIRTS_AVGPAID_1500_1600_ANNUAL2026.xlsx / 默认 / 第447行 / SHA256 deede8b56943df4f914be45dba170f12e69064023d6ef0e88dbde1764f6ba23e</x:v>
      </x:c>
    </x:row>
    <x:row r="743" ht="58" customHeight="1">
      <x:c r="A743" s="23" t="str">
        <x:v>1021634197505</x:v>
      </x:c>
      <x:c r="B743" s="22"/>
      <x:c r="C743" s="22"/>
      <x:c r="D743" s="22"/>
      <x:c r="E743" s="9" t="str">
        <x:v>裙长未明确</x:v>
      </x:c>
      <x:c r="F743" s="9" t="str">
        <x:v>裙装</x:v>
      </x:c>
      <x:c r="G743" s="9" t="str">
        <x:v>半身裙</x:v>
      </x:c>
      <x:c r="H743" s="9" t="str">
        <x:v>女</x:v>
      </x:c>
      <x:c r="I743" s="9" t="str">
        <x:v>PINKO女士2026年夏季新款卡其色裙子复古高腰半身裙PAF26180207</x:v>
      </x:c>
      <x:c r="J743" s="9" t="str">
        <x:v>PINKO</x:v>
      </x:c>
      <x:c r="K743" s="24" t="n">
        <x:v>1530.23</x:v>
      </x:c>
      <x:c r="L743" s="25" t="e">
        <x:f>HYPERLINK("https://item.taobao.com/item.htm?id=1021634197505","打开商品")</x:f>
        <x:v>HYPERLINK is not implemented. linkLocation=https://item.taobao.com/item.htm?id=1021634197505, friendlyName=打开商品</x:v>
      </x:c>
      <x:c r="M743" s="25" t="e">
        <x:f>HYPERLINK("https://data.zhiyitech.cn/itemDetail/overview/base?itemId=1021634197505","打开知衣")</x:f>
        <x:v>HYPERLINK is not implemented. linkLocation=https://data.zhiyitech.cn/itemDetail/overview/base?itemId=1021634197505, friendlyName=打开知衣</x:v>
      </x:c>
      <x:c r="N743" s="25" t="e">
        <x:f>HYPERLINK("https://img.alicdn.com/bao/uploaded/i4/3543812396/O1CN01BVWPjf1TZQ7qoBSg3_!!3543812396.jpg","查看主图")</x:f>
        <x:v>HYPERLINK is not implemented. linkLocation=https://img.alicdn.com/bao/uploaded/i4/3543812396/O1CN01BVWPjf1TZQ7qoBSg3_!!3543812396.jpg, friendlyName=查看主图</x:v>
      </x:c>
      <x:c r="O743" s="9" t="str">
        <x:v>标题及既有类目语义复核；PINKO女士2026年夏季新款卡其色裙子复古高腰半身裙PAF26180207；原类目及标题已能确认半身裙；展示使用已知大类，未知裙长下沉到结构字段，不强猜长短。</x:v>
      </x:c>
      <x:c r="P743" s="9" t="str">
        <x:v>普通男女装</x:v>
      </x:c>
      <x:c r="Q743" s="9" t="str">
        <x:v>W_SKIRTS_AVGPAID_1500_1600_ANNUAL2026.xlsx</x:v>
      </x:c>
      <x:c r="R743" s="9" t="str">
        <x:v>默认</x:v>
      </x:c>
      <x:c r="S743" s="9" t="n">
        <x:v>426</x:v>
      </x:c>
      <x:c r="T743" s="9" t="str">
        <x:v>deede8b56943df4f914be45dba170f12e69064023d6ef0e88dbde1764f6ba23e</x:v>
      </x:c>
      <x:c r="U743" s="9" t="str">
        <x:v>W_SKIRTS_AVGPAID_1500_1600_ANNUAL2026</x:v>
      </x:c>
      <x:c r="V743" s="9" t="str">
        <x:v>W_SKIRTS_AVGPAID_1500_1600_ANNUAL2026.xlsx / 默认 / 第426行 / SHA256 deede8b56943df4f914be45dba170f12e69064023d6ef0e88dbde1764f6ba23e</x:v>
      </x:c>
    </x:row>
    <x:row r="744" ht="58" customHeight="1">
      <x:c r="A744" s="23" t="str">
        <x:v>1075946117152</x:v>
      </x:c>
      <x:c r="B744" s="22"/>
      <x:c r="C744" s="22"/>
      <x:c r="D744" s="22"/>
      <x:c r="E744" s="9" t="str">
        <x:v>裙长未明确</x:v>
      </x:c>
      <x:c r="F744" s="9" t="str">
        <x:v>裙装</x:v>
      </x:c>
      <x:c r="G744" s="9" t="str">
        <x:v>半身裙</x:v>
      </x:c>
      <x:c r="H744" s="9" t="str">
        <x:v>女</x:v>
      </x:c>
      <x:c r="I744" s="9" t="str">
        <x:v>【关茈文同款】Cello Sonata 26早秋新款蕾丝刺绣醋酸不规则半裙</x:v>
      </x:c>
      <x:c r="J744" s="9" t="str">
        <x:v>PLAYSERIOUS</x:v>
      </x:c>
      <x:c r="K744" s="24" t="n">
        <x:v>1797.36</x:v>
      </x:c>
      <x:c r="L744" s="25" t="e">
        <x:f>HYPERLINK("https://item.taobao.com/item.htm?id=1075946117152","打开商品")</x:f>
        <x:v>HYPERLINK is not implemented. linkLocation=https://item.taobao.com/item.htm?id=1075946117152, friendlyName=打开商品</x:v>
      </x:c>
      <x:c r="M744" s="25" t="e">
        <x:f>HYPERLINK("https://data.zhiyitech.cn/itemDetail/overview/base?itemId=1075946117152","打开知衣")</x:f>
        <x:v>HYPERLINK is not implemented. linkLocation=https://data.zhiyitech.cn/itemDetail/overview/base?itemId=1075946117152, friendlyName=打开知衣</x:v>
      </x:c>
      <x:c r="N744" s="25" t="e">
        <x:f>HYPERLINK("https://img.alicdn.com/bao/uploaded/i1/2212415101471/O1CN01UqW8iOYtSpF2vH2e_!!4611686018427386399-0-item_pic.jpg","查看主图")</x:f>
        <x:v>HYPERLINK is not implemented. linkLocation=https://img.alicdn.com/bao/uploaded/i1/2212415101471/O1CN01UqW8iOYtSpF2vH2e_!!4611686018427386399-0-item_pic.jpg, friendlyName=查看主图</x:v>
      </x:c>
      <x:c r="O744" s="9" t="str">
        <x:v>标题及既有类目语义复核；【关茈文同款】Cello Sonata 26早秋新款蕾丝刺绣醋酸不规则半裙；原类目及标题已能确认半身裙；展示使用已知大类，未知裙长下沉到结构字段，不强猜长短。</x:v>
      </x:c>
      <x:c r="P744" s="9" t="str">
        <x:v>普通男女装</x:v>
      </x:c>
      <x:c r="Q744" s="9" t="str">
        <x:v>W_SKIRTS_AVGPAID_1700_1800_ANNUAL2026.xlsx</x:v>
      </x:c>
      <x:c r="R744" s="9" t="str">
        <x:v>默认</x:v>
      </x:c>
      <x:c r="S744" s="9" t="n">
        <x:v>425</x:v>
      </x:c>
      <x:c r="T744" s="9" t="str">
        <x:v>c25ed77c53c7c5cfcf728778a0e9b297d8689503f62756a939cbd534ca9b587a</x:v>
      </x:c>
      <x:c r="U744" s="9" t="str">
        <x:v>W_SKIRTS_AVGPAID_1700_1800_ANNUAL2026</x:v>
      </x:c>
      <x:c r="V744" s="9" t="str">
        <x:v>W_SKIRTS_AVGPAID_1700_1800_ANNUAL2026.xlsx / 默认 / 第425行 / SHA256 c25ed77c53c7c5cfcf728778a0e9b297d8689503f62756a939cbd534ca9b587a</x:v>
      </x:c>
    </x:row>
    <x:row r="745" ht="58" customHeight="1">
      <x:c r="A745" s="23" t="str">
        <x:v>1035553551377</x:v>
      </x:c>
      <x:c r="B745" s="22"/>
      <x:c r="C745" s="22"/>
      <x:c r="D745" s="22"/>
      <x:c r="E745" s="9" t="str">
        <x:v>裙长未明确</x:v>
      </x:c>
      <x:c r="F745" s="9" t="str">
        <x:v>裙装</x:v>
      </x:c>
      <x:c r="G745" s="9" t="str">
        <x:v>半身裙</x:v>
      </x:c>
      <x:c r="H745" s="9" t="str">
        <x:v>女</x:v>
      </x:c>
      <x:c r="I745" s="9" t="str">
        <x:v>POCHE MAGIQUE 4/10 意大利进口Como lace马蹄月影网纱绣花半裙</x:v>
      </x:c>
      <x:c r="J745" s="9" t="str">
        <x:v>POCHE MAGIQUE</x:v>
      </x:c>
      <x:c r="K745" s="24" t="n">
        <x:v>1525.4</x:v>
      </x:c>
      <x:c r="L745" s="25" t="e">
        <x:f>HYPERLINK("https://item.taobao.com/item.htm?id=1035553551377","打开商品")</x:f>
        <x:v>HYPERLINK is not implemented. linkLocation=https://item.taobao.com/item.htm?id=1035553551377, friendlyName=打开商品</x:v>
      </x:c>
      <x:c r="M745" s="25" t="e">
        <x:f>HYPERLINK("https://data.zhiyitech.cn/itemDetail/overview/base?itemId=1035553551377","打开知衣")</x:f>
        <x:v>HYPERLINK is not implemented. linkLocation=https://data.zhiyitech.cn/itemDetail/overview/base?itemId=1035553551377, friendlyName=打开知衣</x:v>
      </x:c>
      <x:c r="N745" s="25" t="e">
        <x:f>HYPERLINK("https://img.alicdn.com/bao/uploaded/i4/86516518/O1CN01ewz5nf1y1Igow5uN0_!!86516518.jpg","查看主图")</x:f>
        <x:v>HYPERLINK is not implemented. linkLocation=https://img.alicdn.com/bao/uploaded/i4/86516518/O1CN01ewz5nf1y1Igow5uN0_!!86516518.jpg, friendlyName=查看主图</x:v>
      </x:c>
      <x:c r="O745" s="9" t="str">
        <x:v>标题及既有类目语义复核；POCHE MAGIQUE 4/10 意大利进口Como lace马蹄月影网纱绣花半裙；原类目及标题已能确认半身裙；展示使用已知大类，未知裙长下沉到结构字段，不强猜长短。</x:v>
      </x:c>
      <x:c r="P745" s="9" t="str">
        <x:v>普通男女装</x:v>
      </x:c>
      <x:c r="Q745" s="9" t="str">
        <x:v>W_SKIRTS_AVGPAID_1500_1600_ANNUAL2026.xlsx</x:v>
      </x:c>
      <x:c r="R745" s="9" t="str">
        <x:v>默认</x:v>
      </x:c>
      <x:c r="S745" s="9" t="n">
        <x:v>138</x:v>
      </x:c>
      <x:c r="T745" s="9" t="str">
        <x:v>deede8b56943df4f914be45dba170f12e69064023d6ef0e88dbde1764f6ba23e</x:v>
      </x:c>
      <x:c r="U745" s="9" t="str">
        <x:v>W_SKIRTS_AVGPAID_1500_1600_ANNUAL2026</x:v>
      </x:c>
      <x:c r="V745" s="9" t="str">
        <x:v>W_SKIRTS_AVGPAID_1500_1600_ANNUAL2026.xlsx / 默认 / 第138行 / SHA256 deede8b56943df4f914be45dba170f12e69064023d6ef0e88dbde1764f6ba23e</x:v>
      </x:c>
    </x:row>
    <x:row r="746" ht="58" customHeight="1">
      <x:c r="A746" s="23" t="str">
        <x:v>1024095558243</x:v>
      </x:c>
      <x:c r="B746" s="22"/>
      <x:c r="C746" s="22"/>
      <x:c r="D746" s="22"/>
      <x:c r="E746" s="9" t="str">
        <x:v>裙长未明确</x:v>
      </x:c>
      <x:c r="F746" s="9" t="str">
        <x:v>裙装</x:v>
      </x:c>
      <x:c r="G746" s="9" t="str">
        <x:v>半身裙</x:v>
      </x:c>
      <x:c r="H746" s="9" t="str">
        <x:v>女</x:v>
      </x:c>
      <x:c r="I746" s="9" t="str">
        <x:v>A字型网眼布针织半身裙</x:v>
      </x:c>
      <x:c r="J746" s="9" t="str">
        <x:v>POLO RALPH LAUREN</x:v>
      </x:c>
      <x:c r="K746" s="24" t="n">
        <x:v>1780.53</x:v>
      </x:c>
      <x:c r="L746" s="25" t="e">
        <x:f>HYPERLINK("https://item.taobao.com/item.htm?id=1024095558243","打开商品")</x:f>
        <x:v>HYPERLINK is not implemented. linkLocation=https://item.taobao.com/item.htm?id=1024095558243, friendlyName=打开商品</x:v>
      </x:c>
      <x:c r="M746" s="25" t="e">
        <x:f>HYPERLINK("https://data.zhiyitech.cn/itemDetail/overview/base?itemId=1024095558243","打开知衣")</x:f>
        <x:v>HYPERLINK is not implemented. linkLocation=https://data.zhiyitech.cn/itemDetail/overview/base?itemId=1024095558243, friendlyName=打开知衣</x:v>
      </x:c>
      <x:c r="N746" s="25" t="e">
        <x:f>HYPERLINK("https://img.alicdn.com/bao/uploaded/i1/3315538487/O1CN01h1aLDv2CZ6YosmWlx_!!3315538487.jpg","查看主图")</x:f>
        <x:v>HYPERLINK is not implemented. linkLocation=https://img.alicdn.com/bao/uploaded/i1/3315538487/O1CN01h1aLDv2CZ6YosmWlx_!!3315538487.jpg, friendlyName=查看主图</x:v>
      </x:c>
      <x:c r="O746" s="9" t="str">
        <x:v>标题及既有类目语义复核；A字型网眼布针织半身裙；原类目及标题已能确认半身裙；展示使用已知大类，未知裙长下沉到结构字段，不强猜长短。</x:v>
      </x:c>
      <x:c r="P746" s="9" t="str">
        <x:v>普通男女装</x:v>
      </x:c>
      <x:c r="Q746" s="9" t="str">
        <x:v>W_SKIRTS_AVGPAID_1700_1800_ANNUAL2026.xlsx</x:v>
      </x:c>
      <x:c r="R746" s="9" t="str">
        <x:v>默认</x:v>
      </x:c>
      <x:c r="S746" s="9" t="n">
        <x:v>362</x:v>
      </x:c>
      <x:c r="T746" s="9" t="str">
        <x:v>c25ed77c53c7c5cfcf728778a0e9b297d8689503f62756a939cbd534ca9b587a</x:v>
      </x:c>
      <x:c r="U746" s="9" t="str">
        <x:v>W_SKIRTS_AVGPAID_1700_1800_ANNUAL2026</x:v>
      </x:c>
      <x:c r="V746" s="9" t="str">
        <x:v>W_SKIRTS_AVGPAID_1700_1800_ANNUAL2026.xlsx / 默认 / 第362行 / SHA256 c25ed77c53c7c5cfcf728778a0e9b297d8689503f62756a939cbd534ca9b587a</x:v>
      </x:c>
    </x:row>
    <x:row r="747" ht="58" customHeight="1">
      <x:c r="A747" s="23" t="str">
        <x:v>878245352375</x:v>
      </x:c>
      <x:c r="B747" s="22"/>
      <x:c r="C747" s="22"/>
      <x:c r="D747" s="22"/>
      <x:c r="E747" s="9" t="str">
        <x:v>裙长未明确</x:v>
      </x:c>
      <x:c r="F747" s="9" t="str">
        <x:v>裙装</x:v>
      </x:c>
      <x:c r="G747" s="9" t="str">
        <x:v>半身裙</x:v>
      </x:c>
      <x:c r="H747" s="9" t="str">
        <x:v>女</x:v>
      </x:c>
      <x:c r="I747" s="9" t="str">
        <x:v>Ralph Lauren/拉夫劳伦女装 经典款A字型迷笛半身裙RL26506</x:v>
      </x:c>
      <x:c r="J747" s="9" t="str">
        <x:v>POLO RALPH LAUREN</x:v>
      </x:c>
      <x:c r="K747" s="24" t="n">
        <x:v>1722.44</x:v>
      </x:c>
      <x:c r="L747" s="25" t="e">
        <x:f>HYPERLINK("https://item.taobao.com/item.htm?id=878245352375","打开商品")</x:f>
        <x:v>HYPERLINK is not implemented. linkLocation=https://item.taobao.com/item.htm?id=878245352375, friendlyName=打开商品</x:v>
      </x:c>
      <x:c r="M747" s="25" t="e">
        <x:f>HYPERLINK("https://data.zhiyitech.cn/itemDetail/overview/base?itemId=878245352375","打开知衣")</x:f>
        <x:v>HYPERLINK is not implemented. linkLocation=https://data.zhiyitech.cn/itemDetail/overview/base?itemId=878245352375, friendlyName=打开知衣</x:v>
      </x:c>
      <x:c r="N747" s="25" t="e">
        <x:f>HYPERLINK("https://img.alicdn.com/bao/uploaded/i1/3315538487/O1CN01FWQQmC2CZ6YYX701K_!!3315538487.jpg","查看主图")</x:f>
        <x:v>HYPERLINK is not implemented. linkLocation=https://img.alicdn.com/bao/uploaded/i1/3315538487/O1CN01FWQQmC2CZ6YYX701K_!!3315538487.jpg, friendlyName=查看主图</x:v>
      </x:c>
      <x:c r="O747" s="9" t="str">
        <x:v>标题及既有类目语义复核；Ralph Lauren/拉夫劳伦女装 经典款A字型迷笛半身裙RL26506；原类目及标题已能确认半身裙；展示使用已知大类，未知裙长下沉到结构字段，不强猜长短。</x:v>
      </x:c>
      <x:c r="P747" s="9" t="str">
        <x:v>普通男女装</x:v>
      </x:c>
      <x:c r="Q747" s="9" t="str">
        <x:v>W_SKIRTS_AVGPAID_1700_1800_ANNUAL2026.xlsx</x:v>
      </x:c>
      <x:c r="R747" s="9" t="str">
        <x:v>默认</x:v>
      </x:c>
      <x:c r="S747" s="9" t="n">
        <x:v>144</x:v>
      </x:c>
      <x:c r="T747" s="9" t="str">
        <x:v>c25ed77c53c7c5cfcf728778a0e9b297d8689503f62756a939cbd534ca9b587a</x:v>
      </x:c>
      <x:c r="U747" s="9" t="str">
        <x:v>W_SKIRTS_AVGPAID_1700_1800_ANNUAL2026</x:v>
      </x:c>
      <x:c r="V747" s="9" t="str">
        <x:v>W_SKIRTS_AVGPAID_1700_1800_ANNUAL2026.xlsx / 默认 / 第144行 / SHA256 c25ed77c53c7c5cfcf728778a0e9b297d8689503f62756a939cbd534ca9b587a</x:v>
      </x:c>
    </x:row>
    <x:row r="748" ht="58" customHeight="1">
      <x:c r="A748" s="23" t="str">
        <x:v>844146512551</x:v>
      </x:c>
      <x:c r="B748" s="22"/>
      <x:c r="C748" s="22"/>
      <x:c r="D748" s="22"/>
      <x:c r="E748" s="9" t="str">
        <x:v>裙长未明确</x:v>
      </x:c>
      <x:c r="F748" s="9" t="str">
        <x:v>裙装</x:v>
      </x:c>
      <x:c r="G748" s="9" t="str">
        <x:v>半身裙</x:v>
      </x:c>
      <x:c r="H748" s="9" t="str">
        <x:v>女</x:v>
      </x:c>
      <x:c r="I748" s="9" t="str">
        <x:v>【3期免息】PORTS 1961女士合身牛仔A字半身裙</x:v>
      </x:c>
      <x:c r="J748" s="9" t="str">
        <x:v>PORTS 1961</x:v>
      </x:c>
      <x:c r="K748" s="24" t="n">
        <x:v>1747.89</x:v>
      </x:c>
      <x:c r="L748" s="25" t="e">
        <x:f>HYPERLINK("https://item.taobao.com/item.htm?id=844146512551","打开商品")</x:f>
        <x:v>HYPERLINK is not implemented. linkLocation=https://item.taobao.com/item.htm?id=844146512551, friendlyName=打开商品</x:v>
      </x:c>
      <x:c r="M748" s="25" t="e">
        <x:f>HYPERLINK("https://data.zhiyitech.cn/itemDetail/overview/base?itemId=844146512551","打开知衣")</x:f>
        <x:v>HYPERLINK is not implemented. linkLocation=https://data.zhiyitech.cn/itemDetail/overview/base?itemId=844146512551, friendlyName=打开知衣</x:v>
      </x:c>
      <x:c r="N748" s="25" t="e">
        <x:f>HYPERLINK("https://img.alicdn.com/bao/uploaded/i2/2218393851624/O1CN01fDh4e11NrqKIBvECI_!!2218393851624.png","查看主图")</x:f>
        <x:v>HYPERLINK is not implemented. linkLocation=https://img.alicdn.com/bao/uploaded/i2/2218393851624/O1CN01fDh4e11NrqKIBvECI_!!2218393851624.png, friendlyName=查看主图</x:v>
      </x:c>
      <x:c r="O748" s="9" t="str">
        <x:v>标题及既有类目语义复核；【3期免息】PORTS 1961女士合身牛仔A字半身裙；原类目及标题已能确认半身裙；展示使用已知大类，未知裙长下沉到结构字段，不强猜长短。</x:v>
      </x:c>
      <x:c r="P748" s="9" t="str">
        <x:v>普通男女装</x:v>
      </x:c>
      <x:c r="Q748" s="9" t="str">
        <x:v>W_SKIRTS_AVGPAID_1700_1800_ANNUAL2026.xlsx</x:v>
      </x:c>
      <x:c r="R748" s="9" t="str">
        <x:v>默认</x:v>
      </x:c>
      <x:c r="S748" s="9" t="n">
        <x:v>185</x:v>
      </x:c>
      <x:c r="T748" s="9" t="str">
        <x:v>c25ed77c53c7c5cfcf728778a0e9b297d8689503f62756a939cbd534ca9b587a</x:v>
      </x:c>
      <x:c r="U748" s="9" t="str">
        <x:v>W_SKIRTS_AVGPAID_1700_1800_ANNUAL2026</x:v>
      </x:c>
      <x:c r="V748" s="9" t="str">
        <x:v>W_SKIRTS_AVGPAID_1700_1800_ANNUAL2026.xlsx / 默认 / 第185行 / SHA256 c25ed77c53c7c5cfcf728778a0e9b297d8689503f62756a939cbd534ca9b587a</x:v>
      </x:c>
    </x:row>
    <x:row r="749" ht="58" customHeight="1">
      <x:c r="A749" s="23" t="str">
        <x:v>1022029121338</x:v>
      </x:c>
      <x:c r="B749" s="22"/>
      <x:c r="C749" s="22"/>
      <x:c r="D749" s="22"/>
      <x:c r="E749" s="9" t="str">
        <x:v>裙长未明确</x:v>
      </x:c>
      <x:c r="F749" s="9" t="str">
        <x:v>裙装</x:v>
      </x:c>
      <x:c r="G749" s="9" t="str">
        <x:v>半身裙</x:v>
      </x:c>
      <x:c r="H749" s="9" t="str">
        <x:v>女</x:v>
      </x:c>
      <x:c r="I749" s="9" t="str">
        <x:v>PORTS宝姿女装2026新款春季轻奢高级感黑色蕾丝包臀半身裙小黑裙</x:v>
      </x:c>
      <x:c r="J749" s="9" t="str">
        <x:v>PORTS/宝姿</x:v>
      </x:c>
      <x:c r="K749" s="24" t="n">
        <x:v>1718.37</x:v>
      </x:c>
      <x:c r="L749" s="25" t="e">
        <x:f>HYPERLINK("https://item.taobao.com/item.htm?id=1022029121338","打开商品")</x:f>
        <x:v>HYPERLINK is not implemented. linkLocation=https://item.taobao.com/item.htm?id=1022029121338, friendlyName=打开商品</x:v>
      </x:c>
      <x:c r="M749" s="25" t="e">
        <x:f>HYPERLINK("https://data.zhiyitech.cn/itemDetail/overview/base?itemId=1022029121338","打开知衣")</x:f>
        <x:v>HYPERLINK is not implemented. linkLocation=https://data.zhiyitech.cn/itemDetail/overview/base?itemId=1022029121338, friendlyName=打开知衣</x:v>
      </x:c>
      <x:c r="N749" s="25" t="e">
        <x:f>HYPERLINK("https://img.alicdn.com/bao/uploaded/i3/2024462951/O1CN01VzQdO8pKbPI1chua-2024462951.jpg","查看主图")</x:f>
        <x:v>HYPERLINK is not implemented. linkLocation=https://img.alicdn.com/bao/uploaded/i3/2024462951/O1CN01VzQdO8pKbPI1chua-2024462951.jpg, friendlyName=查看主图</x:v>
      </x:c>
      <x:c r="O749" s="9" t="str">
        <x:v>标题及既有类目语义复核；PORTS宝姿女装2026新款春季轻奢高级感黑色蕾丝包臀半身裙小黑裙；原类目及标题已能确认半身裙；展示使用已知大类，未知裙长下沉到结构字段，不强猜长短。</x:v>
      </x:c>
      <x:c r="P749" s="9" t="str">
        <x:v>普通男女装</x:v>
      </x:c>
      <x:c r="Q749" s="9" t="str">
        <x:v>W_SKIRTS_AVGPAID_1700_1800_ANNUAL2026.xlsx</x:v>
      </x:c>
      <x:c r="R749" s="9" t="str">
        <x:v>默认</x:v>
      </x:c>
      <x:c r="S749" s="9" t="n">
        <x:v>92</x:v>
      </x:c>
      <x:c r="T749" s="9" t="str">
        <x:v>c25ed77c53c7c5cfcf728778a0e9b297d8689503f62756a939cbd534ca9b587a</x:v>
      </x:c>
      <x:c r="U749" s="9" t="str">
        <x:v>W_SKIRTS_AVGPAID_1700_1800_ANNUAL2026</x:v>
      </x:c>
      <x:c r="V749" s="9" t="str">
        <x:v>W_SKIRTS_AVGPAID_1700_1800_ANNUAL2026.xlsx / 默认 / 第92行 / SHA256 c25ed77c53c7c5cfcf728778a0e9b297d8689503f62756a939cbd534ca9b587a</x:v>
      </x:c>
    </x:row>
    <x:row r="750" ht="58" customHeight="1">
      <x:c r="A750" s="23" t="str">
        <x:v>1024506665829</x:v>
      </x:c>
      <x:c r="B750" s="22"/>
      <x:c r="C750" s="22"/>
      <x:c r="D750" s="22"/>
      <x:c r="E750" s="9" t="str">
        <x:v>裙长未明确</x:v>
      </x:c>
      <x:c r="F750" s="9" t="str">
        <x:v>裙装</x:v>
      </x:c>
      <x:c r="G750" s="9" t="str">
        <x:v>半身裙</x:v>
      </x:c>
      <x:c r="H750" s="9" t="str">
        <x:v>女</x:v>
      </x:c>
      <x:c r="I750" s="9" t="str">
        <x:v>PORTS宝姿outlets女装蕾丝半身裙</x:v>
      </x:c>
      <x:c r="J750" s="9" t="str">
        <x:v>PORTS/宝姿</x:v>
      </x:c>
      <x:c r="K750" s="24" t="n">
        <x:v>1777.38</x:v>
      </x:c>
      <x:c r="L750" s="25" t="e">
        <x:f>HYPERLINK("https://item.taobao.com/item.htm?id=1024506665829","打开商品")</x:f>
        <x:v>HYPERLINK is not implemented. linkLocation=https://item.taobao.com/item.htm?id=1024506665829, friendlyName=打开商品</x:v>
      </x:c>
      <x:c r="M750" s="25" t="e">
        <x:f>HYPERLINK("https://data.zhiyitech.cn/itemDetail/overview/base?itemId=1024506665829","打开知衣")</x:f>
        <x:v>HYPERLINK is not implemented. linkLocation=https://data.zhiyitech.cn/itemDetail/overview/base?itemId=1024506665829, friendlyName=打开知衣</x:v>
      </x:c>
      <x:c r="N750" s="25" t="e">
        <x:f>HYPERLINK("https://img.alicdn.com/bao/uploaded/i3/4047735000/O1CN012r9lN41mo3SrMEg0Y_!!4611686018427381976-0-item_pic.jpg","查看主图")</x:f>
        <x:v>HYPERLINK is not implemented. linkLocation=https://img.alicdn.com/bao/uploaded/i3/4047735000/O1CN012r9lN41mo3SrMEg0Y_!!4611686018427381976-0-item_pic.jpg, friendlyName=查看主图</x:v>
      </x:c>
      <x:c r="O750" s="9" t="str">
        <x:v>标题及既有类目语义复核；PORTS宝姿outlets女装蕾丝半身裙；原类目及标题已能确认半身裙；展示使用已知大类，未知裙长下沉到结构字段，不强猜长短。</x:v>
      </x:c>
      <x:c r="P750" s="9" t="str">
        <x:v>普通男女装</x:v>
      </x:c>
      <x:c r="Q750" s="9" t="str">
        <x:v>W_SKIRTS_AVGPAID_1700_1800_ANNUAL2026.xlsx</x:v>
      </x:c>
      <x:c r="R750" s="9" t="str">
        <x:v>默认</x:v>
      </x:c>
      <x:c r="S750" s="9" t="n">
        <x:v>497</x:v>
      </x:c>
      <x:c r="T750" s="9" t="str">
        <x:v>c25ed77c53c7c5cfcf728778a0e9b297d8689503f62756a939cbd534ca9b587a</x:v>
      </x:c>
      <x:c r="U750" s="9" t="str">
        <x:v>W_SKIRTS_AVGPAID_1700_1800_ANNUAL2026</x:v>
      </x:c>
      <x:c r="V750" s="9" t="str">
        <x:v>W_SKIRTS_AVGPAID_1700_1800_ANNUAL2026.xlsx / 默认 / 第497行 / SHA256 c25ed77c53c7c5cfcf728778a0e9b297d8689503f62756a939cbd534ca9b587a</x:v>
      </x:c>
    </x:row>
    <x:row r="751" ht="58" customHeight="1">
      <x:c r="A751" s="23" t="str">
        <x:v>1027175754690</x:v>
      </x:c>
      <x:c r="B751" s="22"/>
      <x:c r="C751" s="22"/>
      <x:c r="D751" s="22"/>
      <x:c r="E751" s="9" t="str">
        <x:v>裙长未明确</x:v>
      </x:c>
      <x:c r="F751" s="9" t="str">
        <x:v>裙装</x:v>
      </x:c>
      <x:c r="G751" s="9" t="str">
        <x:v>半身裙</x:v>
      </x:c>
      <x:c r="H751" s="9" t="str">
        <x:v>女</x:v>
      </x:c>
      <x:c r="I751" s="9" t="str">
        <x:v>PORTS宝姿女装a字半身裙女</x:v>
      </x:c>
      <x:c r="J751" s="9" t="str">
        <x:v>PORTS/宝姿</x:v>
      </x:c>
      <x:c r="K751" s="24" t="n">
        <x:v>1586.96</x:v>
      </x:c>
      <x:c r="L751" s="25" t="e">
        <x:f>HYPERLINK("https://item.taobao.com/item.htm?id=1027175754690","打开商品")</x:f>
        <x:v>HYPERLINK is not implemented. linkLocation=https://item.taobao.com/item.htm?id=1027175754690, friendlyName=打开商品</x:v>
      </x:c>
      <x:c r="M751" s="25" t="e">
        <x:f>HYPERLINK("https://data.zhiyitech.cn/itemDetail/overview/base?itemId=1027175754690","打开知衣")</x:f>
        <x:v>HYPERLINK is not implemented. linkLocation=https://data.zhiyitech.cn/itemDetail/overview/base?itemId=1027175754690, friendlyName=打开知衣</x:v>
      </x:c>
      <x:c r="N751" s="25" t="e">
        <x:f>HYPERLINK("https://img.alicdn.com/bao/uploaded/i3/2024462951/O1CN01zZj68s1Xfbuqur4AM_!!4611686018427386471-0-item_pic.jpg","查看主图")</x:f>
        <x:v>HYPERLINK is not implemented. linkLocation=https://img.alicdn.com/bao/uploaded/i3/2024462951/O1CN01zZj68s1Xfbuqur4AM_!!4611686018427386471-0-item_pic.jpg, friendlyName=查看主图</x:v>
      </x:c>
      <x:c r="O751" s="9" t="str">
        <x:v>标题及既有类目语义复核；PORTS宝姿女装a字半身裙女；原类目及标题已能确认半身裙；展示使用已知大类，未知裙长下沉到结构字段，不强猜长短。</x:v>
      </x:c>
      <x:c r="P751" s="9" t="str">
        <x:v>普通男女装</x:v>
      </x:c>
      <x:c r="Q751" s="9" t="str">
        <x:v>W_SKIRTS_AVGPAID_1500_1600_ANNUAL2026.xlsx</x:v>
      </x:c>
      <x:c r="R751" s="9" t="str">
        <x:v>默认</x:v>
      </x:c>
      <x:c r="S751" s="9" t="n">
        <x:v>401</x:v>
      </x:c>
      <x:c r="T751" s="9" t="str">
        <x:v>deede8b56943df4f914be45dba170f12e69064023d6ef0e88dbde1764f6ba23e</x:v>
      </x:c>
      <x:c r="U751" s="9" t="str">
        <x:v>W_SKIRTS_AVGPAID_1500_1600_ANNUAL2026</x:v>
      </x:c>
      <x:c r="V751" s="9" t="str">
        <x:v>W_SKIRTS_AVGPAID_1500_1600_ANNUAL2026.xlsx / 默认 / 第401行 / SHA256 deede8b56943df4f914be45dba170f12e69064023d6ef0e88dbde1764f6ba23e</x:v>
      </x:c>
    </x:row>
    <x:row r="752" ht="58" customHeight="1">
      <x:c r="A752" s="23" t="str">
        <x:v>1037268481340</x:v>
      </x:c>
      <x:c r="B752" s="22"/>
      <x:c r="C752" s="22"/>
      <x:c r="D752" s="22"/>
      <x:c r="E752" s="9" t="str">
        <x:v>裙长未明确</x:v>
      </x:c>
      <x:c r="F752" s="9" t="str">
        <x:v>裙装</x:v>
      </x:c>
      <x:c r="G752" s="9" t="str">
        <x:v>半身裙</x:v>
      </x:c>
      <x:c r="H752" s="9" t="str">
        <x:v>女</x:v>
      </x:c>
      <x:c r="I752" s="9" t="str">
        <x:v>PORTS宝姿女装高腰伞摆半身裙</x:v>
      </x:c>
      <x:c r="J752" s="9" t="str">
        <x:v>PORTS/宝姿</x:v>
      </x:c>
      <x:c r="K752" s="24" t="n">
        <x:v>1519.36</x:v>
      </x:c>
      <x:c r="L752" s="25" t="e">
        <x:f>HYPERLINK("https://item.taobao.com/item.htm?id=1037268481340","打开商品")</x:f>
        <x:v>HYPERLINK is not implemented. linkLocation=https://item.taobao.com/item.htm?id=1037268481340, friendlyName=打开商品</x:v>
      </x:c>
      <x:c r="M752" s="25" t="e">
        <x:f>HYPERLINK("https://data.zhiyitech.cn/itemDetail/overview/base?itemId=1037268481340","打开知衣")</x:f>
        <x:v>HYPERLINK is not implemented. linkLocation=https://data.zhiyitech.cn/itemDetail/overview/base?itemId=1037268481340, friendlyName=打开知衣</x:v>
      </x:c>
      <x:c r="N752" s="25" t="e">
        <x:f>HYPERLINK("https://img.alicdn.com/bao/uploaded/i4/2024462951/O1CN01gTWhiw1Xfbv88HSfT_!!4611686018427386471-0-item_pic.jpg","查看主图")</x:f>
        <x:v>HYPERLINK is not implemented. linkLocation=https://img.alicdn.com/bao/uploaded/i4/2024462951/O1CN01gTWhiw1Xfbv88HSfT_!!4611686018427386471-0-item_pic.jpg, friendlyName=查看主图</x:v>
      </x:c>
      <x:c r="O752" s="9" t="str">
        <x:v>标题及既有类目语义复核；PORTS宝姿女装高腰伞摆半身裙；原类目及标题已能确认半身裙；展示使用已知大类，未知裙长下沉到结构字段，不强猜长短。</x:v>
      </x:c>
      <x:c r="P752" s="9" t="str">
        <x:v>普通男女装</x:v>
      </x:c>
      <x:c r="Q752" s="9" t="str">
        <x:v>W_SKIRTS_AVGPAID_1500_1600_ANNUAL2026.xlsx</x:v>
      </x:c>
      <x:c r="R752" s="9" t="str">
        <x:v>默认</x:v>
      </x:c>
      <x:c r="S752" s="9" t="n">
        <x:v>500</x:v>
      </x:c>
      <x:c r="T752" s="9" t="str">
        <x:v>deede8b56943df4f914be45dba170f12e69064023d6ef0e88dbde1764f6ba23e</x:v>
      </x:c>
      <x:c r="U752" s="9" t="str">
        <x:v>W_SKIRTS_AVGPAID_1500_1600_ANNUAL2026</x:v>
      </x:c>
      <x:c r="V752" s="9" t="str">
        <x:v>W_SKIRTS_AVGPAID_1500_1600_ANNUAL2026.xlsx / 默认 / 第500行 / SHA256 deede8b56943df4f914be45dba170f12e69064023d6ef0e88dbde1764f6ba23e</x:v>
      </x:c>
    </x:row>
    <x:row r="753" ht="58" customHeight="1">
      <x:c r="A753" s="23" t="str">
        <x:v>1070231130141</x:v>
      </x:c>
      <x:c r="B753" s="22"/>
      <x:c r="C753" s="22"/>
      <x:c r="D753" s="22"/>
      <x:c r="E753" s="9" t="str">
        <x:v>裙长未明确</x:v>
      </x:c>
      <x:c r="F753" s="9" t="str">
        <x:v>裙装</x:v>
      </x:c>
      <x:c r="G753" s="9" t="str">
        <x:v>半身裙</x:v>
      </x:c>
      <x:c r="H753" s="9" t="str">
        <x:v>女</x:v>
      </x:c>
      <x:c r="I753" s="9" t="str">
        <x:v>PORTS宝姿女装2026秋季新款简约通勤撞色明线鱼尾加绒牛仔半身裙</x:v>
      </x:c>
      <x:c r="J753" s="9" t="str">
        <x:v>PORTS/宝姿</x:v>
      </x:c>
      <x:c r="K753" s="24" t="n">
        <x:v>1714.13</x:v>
      </x:c>
      <x:c r="L753" s="25" t="e">
        <x:f>HYPERLINK("https://item.taobao.com/item.htm?id=1070231130141","打开商品")</x:f>
        <x:v>HYPERLINK is not implemented. linkLocation=https://item.taobao.com/item.htm?id=1070231130141, friendlyName=打开商品</x:v>
      </x:c>
      <x:c r="M753" s="25" t="e">
        <x:f>HYPERLINK("https://data.zhiyitech.cn/itemDetail/overview/base?itemId=1070231130141","打开知衣")</x:f>
        <x:v>HYPERLINK is not implemented. linkLocation=https://data.zhiyitech.cn/itemDetail/overview/base?itemId=1070231130141, friendlyName=打开知衣</x:v>
      </x:c>
      <x:c r="N753" s="25" t="e">
        <x:f>HYPERLINK("https://img.alicdn.com/bao/uploaded/i3/2024462951/O1CN01JvQ5qIMe4DL1chua_!!4611686018427386471-0-item_pic.jpg","查看主图")</x:f>
        <x:v>HYPERLINK is not implemented. linkLocation=https://img.alicdn.com/bao/uploaded/i3/2024462951/O1CN01JvQ5qIMe4DL1chua_!!4611686018427386471-0-item_pic.jpg, friendlyName=查看主图</x:v>
      </x:c>
      <x:c r="O753" s="9" t="str">
        <x:v>标题及既有类目语义复核；PORTS宝姿女装2026秋季新款简约通勤撞色明线鱼尾加绒牛仔半身裙；原类目及标题已能确认半身裙；展示使用已知大类，未知裙长下沉到结构字段，不强猜长短。</x:v>
      </x:c>
      <x:c r="P753" s="9" t="str">
        <x:v>普通男女装</x:v>
      </x:c>
      <x:c r="Q753" s="9" t="str">
        <x:v>W_SKIRTS_AVGPAID_1700_1800_ANNUAL2026.xlsx</x:v>
      </x:c>
      <x:c r="R753" s="9" t="str">
        <x:v>默认</x:v>
      </x:c>
      <x:c r="S753" s="9" t="n">
        <x:v>329</x:v>
      </x:c>
      <x:c r="T753" s="9" t="str">
        <x:v>c25ed77c53c7c5cfcf728778a0e9b297d8689503f62756a939cbd534ca9b587a</x:v>
      </x:c>
      <x:c r="U753" s="9" t="str">
        <x:v>W_SKIRTS_AVGPAID_1700_1800_ANNUAL2026</x:v>
      </x:c>
      <x:c r="V753" s="9" t="str">
        <x:v>W_SKIRTS_AVGPAID_1700_1800_ANNUAL2026.xlsx / 默认 / 第329行 / SHA256 c25ed77c53c7c5cfcf728778a0e9b297d8689503f62756a939cbd534ca9b587a</x:v>
      </x:c>
    </x:row>
    <x:row r="754" ht="58" customHeight="1">
      <x:c r="A754" s="23" t="str">
        <x:v>1076218593244</x:v>
      </x:c>
      <x:c r="B754" s="22"/>
      <x:c r="C754" s="22"/>
      <x:c r="D754" s="22"/>
      <x:c r="E754" s="9" t="str">
        <x:v>裙长未明确</x:v>
      </x:c>
      <x:c r="F754" s="9" t="str">
        <x:v>裙装</x:v>
      </x:c>
      <x:c r="G754" s="9" t="str">
        <x:v>半身裙</x:v>
      </x:c>
      <x:c r="H754" s="9" t="str">
        <x:v>女</x:v>
      </x:c>
      <x:c r="I754" s="9" t="str">
        <x:v>PORTS宝姿女装2026秋季新款气质通勤压褶设计高腰西装半身中裙女</x:v>
      </x:c>
      <x:c r="J754" s="9" t="str">
        <x:v>PORTS/宝姿</x:v>
      </x:c>
      <x:c r="K754" s="24" t="n">
        <x:v>1746.32</x:v>
      </x:c>
      <x:c r="L754" s="25" t="e">
        <x:f>HYPERLINK("https://item.taobao.com/item.htm?id=1076218593244","打开商品")</x:f>
        <x:v>HYPERLINK is not implemented. linkLocation=https://item.taobao.com/item.htm?id=1076218593244, friendlyName=打开商品</x:v>
      </x:c>
      <x:c r="M754" s="25" t="e">
        <x:f>HYPERLINK("https://data.zhiyitech.cn/itemDetail/overview/base?itemId=1076218593244","打开知衣")</x:f>
        <x:v>HYPERLINK is not implemented. linkLocation=https://data.zhiyitech.cn/itemDetail/overview/base?itemId=1076218593244, friendlyName=打开知衣</x:v>
      </x:c>
      <x:c r="N754" s="25" t="e">
        <x:f>HYPERLINK("https://img.alicdn.com/bao/uploaded/i4/2024462951/O1CN01D1bHZL1IBNJ1chua-2024462951.jpg","查看主图")</x:f>
        <x:v>HYPERLINK is not implemented. linkLocation=https://img.alicdn.com/bao/uploaded/i4/2024462951/O1CN01D1bHZL1IBNJ1chua-2024462951.jpg, friendlyName=查看主图</x:v>
      </x:c>
      <x:c r="O754" s="9" t="str">
        <x:v>标题及既有类目语义复核；PORTS宝姿女装2026秋季新款气质通勤压褶设计高腰西装半身中裙女；原类目及标题已能确认半身裙；展示使用已知大类，未知裙长下沉到结构字段，不强猜长短。</x:v>
      </x:c>
      <x:c r="P754" s="9" t="str">
        <x:v>普通男女装</x:v>
      </x:c>
      <x:c r="Q754" s="9" t="str">
        <x:v>W_SKIRTS_AVGPAID_1700_1800_ANNUAL2026.xlsx</x:v>
      </x:c>
      <x:c r="R754" s="9" t="str">
        <x:v>默认</x:v>
      </x:c>
      <x:c r="S754" s="9" t="n">
        <x:v>225</x:v>
      </x:c>
      <x:c r="T754" s="9" t="str">
        <x:v>c25ed77c53c7c5cfcf728778a0e9b297d8689503f62756a939cbd534ca9b587a</x:v>
      </x:c>
      <x:c r="U754" s="9" t="str">
        <x:v>W_SKIRTS_AVGPAID_1700_1800_ANNUAL2026</x:v>
      </x:c>
      <x:c r="V754" s="9" t="str">
        <x:v>W_SKIRTS_AVGPAID_1700_1800_ANNUAL2026.xlsx / 默认 / 第225行 / SHA256 c25ed77c53c7c5cfcf728778a0e9b297d8689503f62756a939cbd534ca9b587a</x:v>
      </x:c>
    </x:row>
    <x:row r="755" ht="58" customHeight="1">
      <x:c r="A755" s="23" t="str">
        <x:v>784671690221</x:v>
      </x:c>
      <x:c r="B755" s="22"/>
      <x:c r="C755" s="22"/>
      <x:c r="D755" s="22"/>
      <x:c r="E755" s="9" t="str">
        <x:v>裙长未明确</x:v>
      </x:c>
      <x:c r="F755" s="9" t="str">
        <x:v>裙装</x:v>
      </x:c>
      <x:c r="G755" s="9" t="str">
        <x:v>半身裙</x:v>
      </x:c>
      <x:c r="H755" s="9" t="str">
        <x:v>女</x:v>
      </x:c>
      <x:c r="I755" s="9" t="str">
        <x:v>PORTS宝姿优雅高级感百搭半身裙</x:v>
      </x:c>
      <x:c r="J755" s="9" t="str">
        <x:v>PORTS/宝姿</x:v>
      </x:c>
      <x:c r="K755" s="24" t="n">
        <x:v>1790.1</x:v>
      </x:c>
      <x:c r="L755" s="25" t="e">
        <x:f>HYPERLINK("https://item.taobao.com/item.htm?id=784671690221","打开商品")</x:f>
        <x:v>HYPERLINK is not implemented. linkLocation=https://item.taobao.com/item.htm?id=784671690221, friendlyName=打开商品</x:v>
      </x:c>
      <x:c r="M755" s="25" t="e">
        <x:f>HYPERLINK("https://data.zhiyitech.cn/itemDetail/overview/base?itemId=784671690221","打开知衣")</x:f>
        <x:v>HYPERLINK is not implemented. linkLocation=https://data.zhiyitech.cn/itemDetail/overview/base?itemId=784671690221, friendlyName=打开知衣</x:v>
      </x:c>
      <x:c r="N755" s="25" t="e">
        <x:f>HYPERLINK("https://img.alicdn.com/bao/uploaded/i4/2024462951/O1CN01fmka4kRLFbJ1chua-2024462951.jpg","查看主图")</x:f>
        <x:v>HYPERLINK is not implemented. linkLocation=https://img.alicdn.com/bao/uploaded/i4/2024462951/O1CN01fmka4kRLFbJ1chua-2024462951.jpg, friendlyName=查看主图</x:v>
      </x:c>
      <x:c r="O755" s="9" t="str">
        <x:v>标题及既有类目语义复核；PORTS宝姿优雅高级感百搭半身裙；原类目及标题已能确认半身裙；展示使用已知大类，未知裙长下沉到结构字段，不强猜长短。</x:v>
      </x:c>
      <x:c r="P755" s="9" t="str">
        <x:v>普通男女装</x:v>
      </x:c>
      <x:c r="Q755" s="9" t="str">
        <x:v>W_SKIRTS_AVGPAID_1700_1800_ANNUAL2026.xlsx</x:v>
      </x:c>
      <x:c r="R755" s="9" t="str">
        <x:v>默认</x:v>
      </x:c>
      <x:c r="S755" s="9" t="n">
        <x:v>114</x:v>
      </x:c>
      <x:c r="T755" s="9" t="str">
        <x:v>c25ed77c53c7c5cfcf728778a0e9b297d8689503f62756a939cbd534ca9b587a</x:v>
      </x:c>
      <x:c r="U755" s="9" t="str">
        <x:v>W_SKIRTS_AVGPAID_1700_1800_ANNUAL2026</x:v>
      </x:c>
      <x:c r="V755" s="9" t="str">
        <x:v>W_SKIRTS_AVGPAID_1700_1800_ANNUAL2026.xlsx / 默认 / 第114行 / SHA256 c25ed77c53c7c5cfcf728778a0e9b297d8689503f62756a939cbd534ca9b587a</x:v>
      </x:c>
    </x:row>
    <x:row r="756" ht="58" customHeight="1">
      <x:c r="A756" s="23" t="str">
        <x:v>1027249771324</x:v>
      </x:c>
      <x:c r="B756" s="22"/>
      <x:c r="C756" s="22"/>
      <x:c r="D756" s="22"/>
      <x:c r="E756" s="9" t="str">
        <x:v>裙长未明确</x:v>
      </x:c>
      <x:c r="F756" s="9" t="str">
        <x:v>裙装</x:v>
      </x:c>
      <x:c r="G756" s="9" t="str">
        <x:v>半身裙</x:v>
      </x:c>
      <x:c r="H756" s="9" t="str">
        <x:v>女</x:v>
      </x:c>
      <x:c r="I756" s="9" t="str">
        <x:v>UNYWANG 【风琴】压褶直筒半身风琴裙 无补~</x:v>
      </x:c>
      <x:c r="J756" s="9" t="str">
        <x:v>PQMAM</x:v>
      </x:c>
      <x:c r="K756" s="24" t="n">
        <x:v>1365.33</x:v>
      </x:c>
      <x:c r="L756" s="25" t="e">
        <x:f>HYPERLINK("https://item.taobao.com/item.htm?id=1027249771324","打开商品")</x:f>
        <x:v>HYPERLINK is not implemented. linkLocation=https://item.taobao.com/item.htm?id=1027249771324, friendlyName=打开商品</x:v>
      </x:c>
      <x:c r="M756" s="25" t="e">
        <x:f>HYPERLINK("https://data.zhiyitech.cn/itemDetail/overview/base?itemId=1027249771324","打开知衣")</x:f>
        <x:v>HYPERLINK is not implemented. linkLocation=https://data.zhiyitech.cn/itemDetail/overview/base?itemId=1027249771324, friendlyName=打开知衣</x:v>
      </x:c>
      <x:c r="N756" s="25" t="e">
        <x:f>HYPERLINK("https://img.alicdn.com/bao/uploaded/i3/534010125/O1CN01foNz061CnIeTSzTUg~crop,0,250,1500,1500~_!!534010125.jpg","查看主图")</x:f>
        <x:v>HYPERLINK is not implemented. linkLocation=https://img.alicdn.com/bao/uploaded/i3/534010125/O1CN01foNz061CnIeTSzTUg~crop,0,250,1500,1500~_!!534010125.jpg, friendlyName=查看主图</x:v>
      </x:c>
      <x:c r="O756" s="9" t="str">
        <x:v>标题及既有类目语义复核；UNYWANG 【风琴】压褶直筒半身风琴裙 无补~；原类目及标题已能确认半身裙；展示使用已知大类，未知裙长下沉到结构字段，不强猜长短。</x:v>
      </x:c>
      <x:c r="P756" s="9" t="str">
        <x:v>普通男女装</x:v>
      </x:c>
      <x:c r="Q756" s="9" t="str">
        <x:v>W_SKIRTS_AVGPAID_1300_1400_ANNUAL2026.xlsx</x:v>
      </x:c>
      <x:c r="R756" s="9" t="str">
        <x:v>默认</x:v>
      </x:c>
      <x:c r="S756" s="9" t="n">
        <x:v>123</x:v>
      </x:c>
      <x:c r="T756" s="9" t="str">
        <x:v>bd4dae1e08e9eca7ddd0669235bf59107cdc418b9c2898fc16f36a7ab5748692</x:v>
      </x:c>
      <x:c r="U756" s="9" t="str">
        <x:v>W_SKIRTS_AVGPAID_1300_1400_ANNUAL2026</x:v>
      </x:c>
      <x:c r="V756" s="9" t="str">
        <x:v>W_SKIRTS_AVGPAID_1300_1400_ANNUAL2026.xlsx / 默认 / 第123行 / SHA256 bd4dae1e08e9eca7ddd0669235bf59107cdc418b9c2898fc16f36a7ab5748692</x:v>
      </x:c>
    </x:row>
    <x:row r="757" ht="58" customHeight="1">
      <x:c r="A757" s="23" t="str">
        <x:v>1000382120199</x:v>
      </x:c>
      <x:c r="B757" s="22"/>
      <x:c r="C757" s="22"/>
      <x:c r="D757" s="22"/>
      <x:c r="E757" s="9" t="str">
        <x:v>裙长未明确</x:v>
      </x:c>
      <x:c r="F757" s="9" t="str">
        <x:v>裙装</x:v>
      </x:c>
      <x:c r="G757" s="9" t="str">
        <x:v>半身裙</x:v>
      </x:c>
      <x:c r="H757" s="9" t="str">
        <x:v>女</x:v>
      </x:c>
      <x:c r="I757" s="9" t="str">
        <x:v>诗篇专选时尚挺括立体高腰显瘦A字皮裙半裙2026春季新款</x:v>
      </x:c>
      <x:c r="J757" s="9" t="str">
        <x:v>PSALTER/诗篇</x:v>
      </x:c>
      <x:c r="K757" s="24" t="n">
        <x:v>1744.64</x:v>
      </x:c>
      <x:c r="L757" s="25" t="e">
        <x:f>HYPERLINK("https://item.taobao.com/item.htm?id=1000382120199","打开商品")</x:f>
        <x:v>HYPERLINK is not implemented. linkLocation=https://item.taobao.com/item.htm?id=1000382120199, friendlyName=打开商品</x:v>
      </x:c>
      <x:c r="M757" s="25" t="e">
        <x:f>HYPERLINK("https://data.zhiyitech.cn/itemDetail/overview/base?itemId=1000382120199","打开知衣")</x:f>
        <x:v>HYPERLINK is not implemented. linkLocation=https://data.zhiyitech.cn/itemDetail/overview/base?itemId=1000382120199, friendlyName=打开知衣</x:v>
      </x:c>
      <x:c r="N757" s="25" t="e">
        <x:f>HYPERLINK("https://img.alicdn.com/bao/uploaded/i2/651856143/O1CN011FJ6mfaRTDJ1chua_!!651856143.jpg","查看主图")</x:f>
        <x:v>HYPERLINK is not implemented. linkLocation=https://img.alicdn.com/bao/uploaded/i2/651856143/O1CN011FJ6mfaRTDJ1chua_!!651856143.jpg, friendlyName=查看主图</x:v>
      </x:c>
      <x:c r="O757" s="9" t="str">
        <x:v>标题及既有类目语义复核；诗篇专选时尚挺括立体高腰显瘦A字皮裙半裙2026春季新款；原类目及标题已能确认半身裙；展示使用已知大类，未知裙长下沉到结构字段，不强猜长短。</x:v>
      </x:c>
      <x:c r="P757" s="9" t="str">
        <x:v>普通男女装</x:v>
      </x:c>
      <x:c r="Q757" s="9" t="str">
        <x:v>W_SKIRTS_AVGPAID_1700_1800_ANNUAL2026.xlsx</x:v>
      </x:c>
      <x:c r="R757" s="9" t="str">
        <x:v>默认</x:v>
      </x:c>
      <x:c r="S757" s="9" t="n">
        <x:v>267</x:v>
      </x:c>
      <x:c r="T757" s="9" t="str">
        <x:v>c25ed77c53c7c5cfcf728778a0e9b297d8689503f62756a939cbd534ca9b587a</x:v>
      </x:c>
      <x:c r="U757" s="9" t="str">
        <x:v>W_SKIRTS_AVGPAID_1700_1800_ANNUAL2026</x:v>
      </x:c>
      <x:c r="V757" s="9" t="str">
        <x:v>W_SKIRTS_AVGPAID_1700_1800_ANNUAL2026.xlsx / 默认 / 第267行 / SHA256 c25ed77c53c7c5cfcf728778a0e9b297d8689503f62756a939cbd534ca9b587a</x:v>
      </x:c>
    </x:row>
    <x:row r="758" ht="58" customHeight="1">
      <x:c r="A758" s="23" t="str">
        <x:v>1005454298937</x:v>
      </x:c>
      <x:c r="B758" s="22"/>
      <x:c r="C758" s="22"/>
      <x:c r="D758" s="22"/>
      <x:c r="E758" s="9" t="str">
        <x:v>裙长未明确</x:v>
      </x:c>
      <x:c r="F758" s="9" t="str">
        <x:v>裙装</x:v>
      </x:c>
      <x:c r="G758" s="9" t="str">
        <x:v>半身裙</x:v>
      </x:c>
      <x:c r="H758" s="9" t="str">
        <x:v>女</x:v>
      </x:c>
      <x:c r="I758" s="9" t="str">
        <x:v>【汤圆TOYO】诗篇秋季新款半身裙6C34350040</x:v>
      </x:c>
      <x:c r="J758" s="9" t="str">
        <x:v>PSALTER/诗篇</x:v>
      </x:c>
      <x:c r="K758" s="24" t="n">
        <x:v>1580</x:v>
      </x:c>
      <x:c r="L758" s="25" t="e">
        <x:f>HYPERLINK("https://item.taobao.com/item.htm?id=1005454298937","打开商品")</x:f>
        <x:v>HYPERLINK is not implemented. linkLocation=https://item.taobao.com/item.htm?id=1005454298937, friendlyName=打开商品</x:v>
      </x:c>
      <x:c r="M758" s="25" t="e">
        <x:f>HYPERLINK("https://data.zhiyitech.cn/itemDetail/overview/base?itemId=1005454298937","打开知衣")</x:f>
        <x:v>HYPERLINK is not implemented. linkLocation=https://data.zhiyitech.cn/itemDetail/overview/base?itemId=1005454298937, friendlyName=打开知衣</x:v>
      </x:c>
      <x:c r="N758" s="25" t="e">
        <x:f>HYPERLINK("https://img.alicdn.com/imgextra/i4/3920143183/O1CN01PBdV731ZNrn8TlgGr_!!4611686018427380559-0-item_pic.jpg","查看主图")</x:f>
        <x:v>HYPERLINK is not implemented. linkLocation=https://img.alicdn.com/imgextra/i4/3920143183/O1CN01PBdV731ZNrn8TlgGr_!!4611686018427380559-0-item_pic.jpg, friendlyName=查看主图</x:v>
      </x:c>
      <x:c r="O758" s="9" t="str">
        <x:v>标题及既有类目语义复核；【汤圆TOYO】诗篇秋季新款半身裙6C34350040；原类目及标题已能确认半身裙；展示使用已知大类，未知裙长下沉到结构字段，不强猜长短。</x:v>
      </x:c>
      <x:c r="P758" s="9" t="str">
        <x:v>普通男女装</x:v>
      </x:c>
      <x:c r="Q758" s="9" t="str">
        <x:v>W_SKIRTS_AVGPAID_1500_1600_ANNUAL2026.xlsx</x:v>
      </x:c>
      <x:c r="R758" s="9" t="str">
        <x:v>默认</x:v>
      </x:c>
      <x:c r="S758" s="9" t="n">
        <x:v>334</x:v>
      </x:c>
      <x:c r="T758" s="9" t="str">
        <x:v>deede8b56943df4f914be45dba170f12e69064023d6ef0e88dbde1764f6ba23e</x:v>
      </x:c>
      <x:c r="U758" s="9" t="str">
        <x:v>W_SKIRTS_AVGPAID_1500_1600_ANNUAL2026</x:v>
      </x:c>
      <x:c r="V758" s="9" t="str">
        <x:v>W_SKIRTS_AVGPAID_1500_1600_ANNUAL2026.xlsx / 默认 / 第334行 / SHA256 deede8b56943df4f914be45dba170f12e69064023d6ef0e88dbde1764f6ba23e</x:v>
      </x:c>
    </x:row>
    <x:row r="759" ht="58" customHeight="1">
      <x:c r="A759" s="23" t="str">
        <x:v>1045996777735</x:v>
      </x:c>
      <x:c r="B759" s="22"/>
      <x:c r="C759" s="22"/>
      <x:c r="D759" s="22"/>
      <x:c r="E759" s="9" t="str">
        <x:v>裙长未明确</x:v>
      </x:c>
      <x:c r="F759" s="9" t="str">
        <x:v>裙装</x:v>
      </x:c>
      <x:c r="G759" s="9" t="str">
        <x:v>半身裙</x:v>
      </x:c>
      <x:c r="H759" s="9" t="str">
        <x:v>女</x:v>
      </x:c>
      <x:c r="I759" s="9" t="str">
        <x:v>【周雨彤同款】PSALTER诗篇显瘦直筒牛仔裙2026夏季新款</x:v>
      </x:c>
      <x:c r="J759" s="9" t="str">
        <x:v>PSALTER/诗篇</x:v>
      </x:c>
      <x:c r="K759" s="24" t="n">
        <x:v>1736.88</x:v>
      </x:c>
      <x:c r="L759" s="25" t="e">
        <x:f>HYPERLINK("https://item.taobao.com/item.htm?id=1045996777735","打开商品")</x:f>
        <x:v>HYPERLINK is not implemented. linkLocation=https://item.taobao.com/item.htm?id=1045996777735, friendlyName=打开商品</x:v>
      </x:c>
      <x:c r="M759" s="25" t="e">
        <x:f>HYPERLINK("https://data.zhiyitech.cn/itemDetail/overview/base?itemId=1045996777735","打开知衣")</x:f>
        <x:v>HYPERLINK is not implemented. linkLocation=https://data.zhiyitech.cn/itemDetail/overview/base?itemId=1045996777735, friendlyName=打开知衣</x:v>
      </x:c>
      <x:c r="N759" s="25" t="e">
        <x:f>HYPERLINK("https://img.alicdn.com/bao/uploaded/i2/651856143/O1CN01WBOIlP66ksJ1chua_!!651856143.jpg","查看主图")</x:f>
        <x:v>HYPERLINK is not implemented. linkLocation=https://img.alicdn.com/bao/uploaded/i2/651856143/O1CN01WBOIlP66ksJ1chua_!!651856143.jpg, friendlyName=查看主图</x:v>
      </x:c>
      <x:c r="O759" s="9" t="str">
        <x:v>标题及既有类目语义复核；【周雨彤同款】PSALTER诗篇显瘦直筒牛仔裙2026夏季新款；原类目及标题已能确认半身裙；展示使用已知大类，未知裙长下沉到结构字段，不强猜长短。</x:v>
      </x:c>
      <x:c r="P759" s="9" t="str">
        <x:v>普通男女装</x:v>
      </x:c>
      <x:c r="Q759" s="9" t="str">
        <x:v>W_SKIRTS_AVGPAID_1700_1800_ANNUAL2026.xlsx</x:v>
      </x:c>
      <x:c r="R759" s="9" t="str">
        <x:v>默认</x:v>
      </x:c>
      <x:c r="S759" s="9" t="n">
        <x:v>307</x:v>
      </x:c>
      <x:c r="T759" s="9" t="str">
        <x:v>c25ed77c53c7c5cfcf728778a0e9b297d8689503f62756a939cbd534ca9b587a</x:v>
      </x:c>
      <x:c r="U759" s="9" t="str">
        <x:v>W_SKIRTS_AVGPAID_1700_1800_ANNUAL2026</x:v>
      </x:c>
      <x:c r="V759" s="9" t="str">
        <x:v>W_SKIRTS_AVGPAID_1700_1800_ANNUAL2026.xlsx / 默认 / 第307行 / SHA256 c25ed77c53c7c5cfcf728778a0e9b297d8689503f62756a939cbd534ca9b587a</x:v>
      </x:c>
    </x:row>
    <x:row r="760" ht="58" customHeight="1">
      <x:c r="A760" s="23" t="str">
        <x:v>965539214138</x:v>
      </x:c>
      <x:c r="B760" s="22"/>
      <x:c r="C760" s="22"/>
      <x:c r="D760" s="22"/>
      <x:c r="E760" s="9" t="str">
        <x:v>裙长未明确</x:v>
      </x:c>
      <x:c r="F760" s="9" t="str">
        <x:v>裙装</x:v>
      </x:c>
      <x:c r="G760" s="9" t="str">
        <x:v>半身裙</x:v>
      </x:c>
      <x:c r="H760" s="9" t="str">
        <x:v>女</x:v>
      </x:c>
      <x:c r="I760" s="9" t="str">
        <x:v>【周雨彤同款】PSALTER诗篇美丽奴羊毛高腰显瘦半裙2025秋款</x:v>
      </x:c>
      <x:c r="J760" s="9" t="str">
        <x:v>PSALTER/诗篇</x:v>
      </x:c>
      <x:c r="K760" s="24" t="n">
        <x:v>1360.32</x:v>
      </x:c>
      <x:c r="L760" s="25" t="e">
        <x:f>HYPERLINK("https://item.taobao.com/item.htm?id=965539214138","打开商品")</x:f>
        <x:v>HYPERLINK is not implemented. linkLocation=https://item.taobao.com/item.htm?id=965539214138, friendlyName=打开商品</x:v>
      </x:c>
      <x:c r="M760" s="25" t="e">
        <x:f>HYPERLINK("https://data.zhiyitech.cn/itemDetail/overview/base?itemId=965539214138","打开知衣")</x:f>
        <x:v>HYPERLINK is not implemented. linkLocation=https://data.zhiyitech.cn/itemDetail/overview/base?itemId=965539214138, friendlyName=打开知衣</x:v>
      </x:c>
      <x:c r="N760" s="25" t="e">
        <x:f>HYPERLINK("https://img.alicdn.com/bao/uploaded/i3/651856143/O1CN01rQb8cDdzQuD1chua_!!651856143.jpg","查看主图")</x:f>
        <x:v>HYPERLINK is not implemented. linkLocation=https://img.alicdn.com/bao/uploaded/i3/651856143/O1CN01rQb8cDdzQuD1chua_!!651856143.jpg, friendlyName=查看主图</x:v>
      </x:c>
      <x:c r="O760" s="9" t="str">
        <x:v>标题及既有类目语义复核；【周雨彤同款】PSALTER诗篇美丽奴羊毛高腰显瘦半裙2025秋款；原类目及标题已能确认半身裙；展示使用已知大类，未知裙长下沉到结构字段，不强猜长短。</x:v>
      </x:c>
      <x:c r="P760" s="9" t="str">
        <x:v>普通男女装</x:v>
      </x:c>
      <x:c r="Q760" s="9" t="str">
        <x:v>W_SKIRTS_AVGPAID_1300_1400_ANNUAL2026.xlsx</x:v>
      </x:c>
      <x:c r="R760" s="9" t="str">
        <x:v>默认</x:v>
      </x:c>
      <x:c r="S760" s="9" t="n">
        <x:v>212</x:v>
      </x:c>
      <x:c r="T760" s="9" t="str">
        <x:v>bd4dae1e08e9eca7ddd0669235bf59107cdc418b9c2898fc16f36a7ab5748692</x:v>
      </x:c>
      <x:c r="U760" s="9" t="str">
        <x:v>W_SKIRTS_AVGPAID_1300_1400_ANNUAL2026</x:v>
      </x:c>
      <x:c r="V760" s="9" t="str">
        <x:v>W_SKIRTS_AVGPAID_1300_1400_ANNUAL2026.xlsx / 默认 / 第212行 / SHA256 bd4dae1e08e9eca7ddd0669235bf59107cdc418b9c2898fc16f36a7ab5748692</x:v>
      </x:c>
    </x:row>
    <x:row r="761" ht="58" customHeight="1">
      <x:c r="A761" s="23" t="str">
        <x:v>1000562805970</x:v>
      </x:c>
      <x:c r="B761" s="22"/>
      <x:c r="C761" s="22"/>
      <x:c r="D761" s="22"/>
      <x:c r="E761" s="9" t="str">
        <x:v>裙长未明确</x:v>
      </x:c>
      <x:c r="F761" s="9" t="str">
        <x:v>裙装</x:v>
      </x:c>
      <x:c r="G761" s="9" t="str">
        <x:v>半身裙</x:v>
      </x:c>
      <x:c r="H761" s="9" t="str">
        <x:v>女</x:v>
      </x:c>
      <x:c r="I761" s="9" t="str">
        <x:v>PURE TEA/茶·愫中式提花半身裙</x:v>
      </x:c>
      <x:c r="J761" s="9" t="str">
        <x:v>PURE TEA/茶·愫</x:v>
      </x:c>
      <x:c r="K761" s="24" t="n">
        <x:v>1347.28</x:v>
      </x:c>
      <x:c r="L761" s="25" t="e">
        <x:f>HYPERLINK("https://item.taobao.com/item.htm?id=1000562805970","打开商品")</x:f>
        <x:v>HYPERLINK is not implemented. linkLocation=https://item.taobao.com/item.htm?id=1000562805970, friendlyName=打开商品</x:v>
      </x:c>
      <x:c r="M761" s="25" t="e">
        <x:f>HYPERLINK("https://data.zhiyitech.cn/itemDetail/overview/base?itemId=1000562805970","打开知衣")</x:f>
        <x:v>HYPERLINK is not implemented. linkLocation=https://data.zhiyitech.cn/itemDetail/overview/base?itemId=1000562805970, friendlyName=打开知衣</x:v>
      </x:c>
      <x:c r="N761" s="25" t="e">
        <x:f>HYPERLINK("https://img.alicdn.com/bao/uploaded/i4/2209856185966/O1CN01HkA1AM1twU2IkhmFe_!!4611686018427381358-0-item_pic.jpg","查看主图")</x:f>
        <x:v>HYPERLINK is not implemented. linkLocation=https://img.alicdn.com/bao/uploaded/i4/2209856185966/O1CN01HkA1AM1twU2IkhmFe_!!4611686018427381358-0-item_pic.jpg, friendlyName=查看主图</x:v>
      </x:c>
      <x:c r="O761" s="9" t="str">
        <x:v>标题及既有类目语义复核；PURE TEA/茶·愫中式提花半身裙；原类目及标题已能确认半身裙；展示使用已知大类，未知裙长下沉到结构字段，不强猜长短。</x:v>
      </x:c>
      <x:c r="P761" s="9" t="str">
        <x:v>普通男女装</x:v>
      </x:c>
      <x:c r="Q761" s="9" t="str">
        <x:v>W_SKIRTS_AVGPAID_1300_1400_ANNUAL2026.xlsx</x:v>
      </x:c>
      <x:c r="R761" s="9" t="str">
        <x:v>默认</x:v>
      </x:c>
      <x:c r="S761" s="9" t="n">
        <x:v>310</x:v>
      </x:c>
      <x:c r="T761" s="9" t="str">
        <x:v>bd4dae1e08e9eca7ddd0669235bf59107cdc418b9c2898fc16f36a7ab5748692</x:v>
      </x:c>
      <x:c r="U761" s="9" t="str">
        <x:v>W_SKIRTS_AVGPAID_1300_1400_ANNUAL2026</x:v>
      </x:c>
      <x:c r="V761" s="9" t="str">
        <x:v>W_SKIRTS_AVGPAID_1300_1400_ANNUAL2026.xlsx / 默认 / 第310行 / SHA256 bd4dae1e08e9eca7ddd0669235bf59107cdc418b9c2898fc16f36a7ab5748692</x:v>
      </x:c>
    </x:row>
    <x:row r="762" ht="58" customHeight="1">
      <x:c r="A762" s="23" t="str">
        <x:v>1022303565380</x:v>
      </x:c>
      <x:c r="B762" s="22"/>
      <x:c r="C762" s="22"/>
      <x:c r="D762" s="22"/>
      <x:c r="E762" s="9" t="str">
        <x:v>裙长未明确</x:v>
      </x:c>
      <x:c r="F762" s="9" t="str">
        <x:v>裙装</x:v>
      </x:c>
      <x:c r="G762" s="9" t="str">
        <x:v>半身裙</x:v>
      </x:c>
      <x:c r="H762" s="9" t="str">
        <x:v>女</x:v>
      </x:c>
      <x:c r="I762" s="9" t="str">
        <x:v>PURE TEA/茶·愫 绣花A字半身裙</x:v>
      </x:c>
      <x:c r="J762" s="9" t="str">
        <x:v>PURE TEA/茶·愫</x:v>
      </x:c>
      <x:c r="K762" s="24" t="n">
        <x:v>1344.57</x:v>
      </x:c>
      <x:c r="L762" s="25" t="e">
        <x:f>HYPERLINK("https://item.taobao.com/item.htm?id=1022303565380","打开商品")</x:f>
        <x:v>HYPERLINK is not implemented. linkLocation=https://item.taobao.com/item.htm?id=1022303565380, friendlyName=打开商品</x:v>
      </x:c>
      <x:c r="M762" s="25" t="e">
        <x:f>HYPERLINK("https://data.zhiyitech.cn/itemDetail/overview/base?itemId=1022303565380","打开知衣")</x:f>
        <x:v>HYPERLINK is not implemented. linkLocation=https://data.zhiyitech.cn/itemDetail/overview/base?itemId=1022303565380, friendlyName=打开知衣</x:v>
      </x:c>
      <x:c r="N762" s="25" t="e">
        <x:f>HYPERLINK("https://img.alicdn.com/bao/uploaded/i1/2209856185966/O1CN01ug22df1twU3KzLHnJ_!!4611686018427381358-0-item_pic.jpg","查看主图")</x:f>
        <x:v>HYPERLINK is not implemented. linkLocation=https://img.alicdn.com/bao/uploaded/i1/2209856185966/O1CN01ug22df1twU3KzLHnJ_!!4611686018427381358-0-item_pic.jpg, friendlyName=查看主图</x:v>
      </x:c>
      <x:c r="O762" s="9" t="str">
        <x:v>标题及既有类目语义复核；PURE TEA/茶·愫 绣花A字半身裙；原类目及标题已能确认半身裙；展示使用已知大类，未知裙长下沉到结构字段，不强猜长短。</x:v>
      </x:c>
      <x:c r="P762" s="9" t="str">
        <x:v>普通男女装</x:v>
      </x:c>
      <x:c r="Q762" s="9" t="str">
        <x:v>W_SKIRTS_AVGPAID_1300_1400_ANNUAL2026.xlsx</x:v>
      </x:c>
      <x:c r="R762" s="9" t="str">
        <x:v>默认</x:v>
      </x:c>
      <x:c r="S762" s="9" t="n">
        <x:v>150</x:v>
      </x:c>
      <x:c r="T762" s="9" t="str">
        <x:v>bd4dae1e08e9eca7ddd0669235bf59107cdc418b9c2898fc16f36a7ab5748692</x:v>
      </x:c>
      <x:c r="U762" s="9" t="str">
        <x:v>W_SKIRTS_AVGPAID_1300_1400_ANNUAL2026</x:v>
      </x:c>
      <x:c r="V762" s="9" t="str">
        <x:v>W_SKIRTS_AVGPAID_1300_1400_ANNUAL2026.xlsx / 默认 / 第150行 / SHA256 bd4dae1e08e9eca7ddd0669235bf59107cdc418b9c2898fc16f36a7ab5748692</x:v>
      </x:c>
    </x:row>
    <x:row r="763" ht="58" customHeight="1">
      <x:c r="A763" s="23" t="str">
        <x:v>1046694053305</x:v>
      </x:c>
      <x:c r="B763" s="22"/>
      <x:c r="C763" s="22"/>
      <x:c r="D763" s="22"/>
      <x:c r="E763" s="9" t="str">
        <x:v>裙长未明确</x:v>
      </x:c>
      <x:c r="F763" s="9" t="str">
        <x:v>裙装</x:v>
      </x:c>
      <x:c r="G763" s="9" t="str">
        <x:v>半身裙</x:v>
      </x:c>
      <x:c r="H763" s="9" t="str">
        <x:v>女</x:v>
      </x:c>
      <x:c r="I763" s="9" t="str">
        <x:v>PURE TEA/茶·愫 绣花A字半身裙</x:v>
      </x:c>
      <x:c r="J763" s="9" t="str">
        <x:v>PURE TEA/茶·愫</x:v>
      </x:c>
      <x:c r="K763" s="24" t="n">
        <x:v>1747.14</x:v>
      </x:c>
      <x:c r="L763" s="25" t="e">
        <x:f>HYPERLINK("https://item.taobao.com/item.htm?id=1046694053305","打开商品")</x:f>
        <x:v>HYPERLINK is not implemented. linkLocation=https://item.taobao.com/item.htm?id=1046694053305, friendlyName=打开商品</x:v>
      </x:c>
      <x:c r="M763" s="25" t="e">
        <x:f>HYPERLINK("https://data.zhiyitech.cn/itemDetail/overview/base?itemId=1046694053305","打开知衣")</x:f>
        <x:v>HYPERLINK is not implemented. linkLocation=https://data.zhiyitech.cn/itemDetail/overview/base?itemId=1046694053305, friendlyName=打开知衣</x:v>
      </x:c>
      <x:c r="N763" s="25" t="e">
        <x:f>HYPERLINK("https://img.alicdn.com/bao/uploaded/i2/2209856185966/O1CN01BSmNXD1twU43xNquy_!!4611686018427381358-0-item_pic.jpg","查看主图")</x:f>
        <x:v>HYPERLINK is not implemented. linkLocation=https://img.alicdn.com/bao/uploaded/i2/2209856185966/O1CN01BSmNXD1twU43xNquy_!!4611686018427381358-0-item_pic.jpg, friendlyName=查看主图</x:v>
      </x:c>
      <x:c r="O763" s="9" t="str">
        <x:v>标题及既有类目语义复核；PURE TEA/茶·愫 绣花A字半身裙；原类目及标题已能确认半身裙；展示使用已知大类，未知裙长下沉到结构字段，不强猜长短。</x:v>
      </x:c>
      <x:c r="P763" s="9" t="str">
        <x:v>普通男女装</x:v>
      </x:c>
      <x:c r="Q763" s="9" t="str">
        <x:v>W_SKIRTS_AVGPAID_1700_1800_ANNUAL2026.xlsx</x:v>
      </x:c>
      <x:c r="R763" s="9" t="str">
        <x:v>默认</x:v>
      </x:c>
      <x:c r="S763" s="9" t="n">
        <x:v>371</x:v>
      </x:c>
      <x:c r="T763" s="9" t="str">
        <x:v>c25ed77c53c7c5cfcf728778a0e9b297d8689503f62756a939cbd534ca9b587a</x:v>
      </x:c>
      <x:c r="U763" s="9" t="str">
        <x:v>W_SKIRTS_AVGPAID_1700_1800_ANNUAL2026</x:v>
      </x:c>
      <x:c r="V763" s="9" t="str">
        <x:v>W_SKIRTS_AVGPAID_1700_1800_ANNUAL2026.xlsx / 默认 / 第371行 / SHA256 c25ed77c53c7c5cfcf728778a0e9b297d8689503f62756a939cbd534ca9b587a</x:v>
      </x:c>
    </x:row>
    <x:row r="764" ht="58" customHeight="1">
      <x:c r="A764" s="23" t="str">
        <x:v>1047565036432</x:v>
      </x:c>
      <x:c r="B764" s="22"/>
      <x:c r="C764" s="22"/>
      <x:c r="D764" s="22"/>
      <x:c r="E764" s="9" t="str">
        <x:v>裙长未明确</x:v>
      </x:c>
      <x:c r="F764" s="9" t="str">
        <x:v>裙装</x:v>
      </x:c>
      <x:c r="G764" s="9" t="str">
        <x:v>半身裙</x:v>
      </x:c>
      <x:c r="H764" s="9" t="str">
        <x:v>女</x:v>
      </x:c>
      <x:c r="I764" s="9" t="str">
        <x:v>PURE TEA/茶·愫 印花A字半身裙</x:v>
      </x:c>
      <x:c r="J764" s="9" t="str">
        <x:v>PURE TEA/茶·愫</x:v>
      </x:c>
      <x:c r="K764" s="24" t="n">
        <x:v>1746.13</x:v>
      </x:c>
      <x:c r="L764" s="25" t="e">
        <x:f>HYPERLINK("https://item.taobao.com/item.htm?id=1047565036432","打开商品")</x:f>
        <x:v>HYPERLINK is not implemented. linkLocation=https://item.taobao.com/item.htm?id=1047565036432, friendlyName=打开商品</x:v>
      </x:c>
      <x:c r="M764" s="25" t="e">
        <x:f>HYPERLINK("https://data.zhiyitech.cn/itemDetail/overview/base?itemId=1047565036432","打开知衣")</x:f>
        <x:v>HYPERLINK is not implemented. linkLocation=https://data.zhiyitech.cn/itemDetail/overview/base?itemId=1047565036432, friendlyName=打开知衣</x:v>
      </x:c>
      <x:c r="N764" s="25" t="e">
        <x:f>HYPERLINK("https://img.alicdn.com/bao/uploaded/i4/2209856185966/O1CN01dMeanG1twU4mLgDBp_!!2209856185966.jpg","查看主图")</x:f>
        <x:v>HYPERLINK is not implemented. linkLocation=https://img.alicdn.com/bao/uploaded/i4/2209856185966/O1CN01dMeanG1twU4mLgDBp_!!2209856185966.jpg, friendlyName=查看主图</x:v>
      </x:c>
      <x:c r="O764" s="9" t="str">
        <x:v>标题及既有类目语义复核；PURE TEA/茶·愫 印花A字半身裙；原类目及标题已能确认半身裙；展示使用已知大类，未知裙长下沉到结构字段，不强猜长短。</x:v>
      </x:c>
      <x:c r="P764" s="9" t="str">
        <x:v>普通男女装</x:v>
      </x:c>
      <x:c r="Q764" s="9" t="str">
        <x:v>W_SKIRTS_AVGPAID_1700_1800_ANNUAL2026.xlsx</x:v>
      </x:c>
      <x:c r="R764" s="9" t="str">
        <x:v>默认</x:v>
      </x:c>
      <x:c r="S764" s="9" t="n">
        <x:v>421</x:v>
      </x:c>
      <x:c r="T764" s="9" t="str">
        <x:v>c25ed77c53c7c5cfcf728778a0e9b297d8689503f62756a939cbd534ca9b587a</x:v>
      </x:c>
      <x:c r="U764" s="9" t="str">
        <x:v>W_SKIRTS_AVGPAID_1700_1800_ANNUAL2026</x:v>
      </x:c>
      <x:c r="V764" s="9" t="str">
        <x:v>W_SKIRTS_AVGPAID_1700_1800_ANNUAL2026.xlsx / 默认 / 第421行 / SHA256 c25ed77c53c7c5cfcf728778a0e9b297d8689503f62756a939cbd534ca9b587a</x:v>
      </x:c>
    </x:row>
    <x:row r="765" ht="58" customHeight="1">
      <x:c r="A765" s="23" t="str">
        <x:v>925845471448</x:v>
      </x:c>
      <x:c r="B765" s="22"/>
      <x:c r="C765" s="22"/>
      <x:c r="D765" s="22"/>
      <x:c r="E765" s="9" t="str">
        <x:v>裙长未明确</x:v>
      </x:c>
      <x:c r="F765" s="9" t="str">
        <x:v>裙装</x:v>
      </x:c>
      <x:c r="G765" s="9" t="str">
        <x:v>半身裙</x:v>
      </x:c>
      <x:c r="H765" s="9" t="str">
        <x:v>女</x:v>
      </x:c>
      <x:c r="I765" s="9" t="str">
        <x:v>【浪漫千金】puretea茶愫层次花卉蕾丝半身裙蛋糕裙秋季新款</x:v>
      </x:c>
      <x:c r="J765" s="9" t="str">
        <x:v>PURE TEA/茶·愫</x:v>
      </x:c>
      <x:c r="K765" s="24" t="n">
        <x:v>1548.05</x:v>
      </x:c>
      <x:c r="L765" s="25" t="e">
        <x:f>HYPERLINK("https://item.taobao.com/item.htm?id=925845471448","打开商品")</x:f>
        <x:v>HYPERLINK is not implemented. linkLocation=https://item.taobao.com/item.htm?id=925845471448, friendlyName=打开商品</x:v>
      </x:c>
      <x:c r="M765" s="25" t="e">
        <x:f>HYPERLINK("https://data.zhiyitech.cn/itemDetail/overview/base?itemId=925845471448","打开知衣")</x:f>
        <x:v>HYPERLINK is not implemented. linkLocation=https://data.zhiyitech.cn/itemDetail/overview/base?itemId=925845471448, friendlyName=打开知衣</x:v>
      </x:c>
      <x:c r="N765" s="25" t="e">
        <x:f>HYPERLINK("https://img.alicdn.com/bao/uploaded/i4/2209856185966/O1CN01yr5vqXD9t9D1chua_!!2209856185966.jpg","查看主图")</x:f>
        <x:v>HYPERLINK is not implemented. linkLocation=https://img.alicdn.com/bao/uploaded/i4/2209856185966/O1CN01yr5vqXD9t9D1chua_!!2209856185966.jpg, friendlyName=查看主图</x:v>
      </x:c>
      <x:c r="O765" s="9" t="str">
        <x:v>标题及既有类目语义复核；【浪漫千金】puretea茶愫层次花卉蕾丝半身裙蛋糕裙秋季新款；原类目及标题已能确认半身裙；展示使用已知大类，未知裙长下沉到结构字段，不强猜长短。</x:v>
      </x:c>
      <x:c r="P765" s="9" t="str">
        <x:v>普通男女装</x:v>
      </x:c>
      <x:c r="Q765" s="9" t="str">
        <x:v>W_SKIRTS_AVGPAID_1500_1600_ANNUAL2026.xlsx</x:v>
      </x:c>
      <x:c r="R765" s="9" t="str">
        <x:v>默认</x:v>
      </x:c>
      <x:c r="S765" s="9" t="n">
        <x:v>278</x:v>
      </x:c>
      <x:c r="T765" s="9" t="str">
        <x:v>deede8b56943df4f914be45dba170f12e69064023d6ef0e88dbde1764f6ba23e</x:v>
      </x:c>
      <x:c r="U765" s="9" t="str">
        <x:v>W_SKIRTS_AVGPAID_1500_1600_ANNUAL2026</x:v>
      </x:c>
      <x:c r="V765" s="9" t="str">
        <x:v>W_SKIRTS_AVGPAID_1500_1600_ANNUAL2026.xlsx / 默认 / 第278行 / SHA256 deede8b56943df4f914be45dba170f12e69064023d6ef0e88dbde1764f6ba23e</x:v>
      </x:c>
    </x:row>
    <x:row r="766" ht="58" customHeight="1">
      <x:c r="A766" s="23" t="str">
        <x:v>702447915088</x:v>
      </x:c>
      <x:c r="B766" s="22"/>
      <x:c r="C766" s="22"/>
      <x:c r="D766" s="22"/>
      <x:c r="E766" s="9" t="str">
        <x:v>裙长未明确</x:v>
      </x:c>
      <x:c r="F766" s="9" t="str">
        <x:v>裙装</x:v>
      </x:c>
      <x:c r="G766" s="9" t="str">
        <x:v>半身裙</x:v>
      </x:c>
      <x:c r="H766" s="9" t="str">
        <x:v>女</x:v>
      </x:c>
      <x:c r="I766" s="9" t="str">
        <x:v>PURITE 精致迷人 | 绝美明绿粼粼光感 时髦亮片半裙</x:v>
      </x:c>
      <x:c r="J766" s="9" t="str">
        <x:v>PURITYRING</x:v>
      </x:c>
      <x:c r="K766" s="24" t="n">
        <x:v>1394.12</x:v>
      </x:c>
      <x:c r="L766" s="25" t="e">
        <x:f>HYPERLINK("https://item.taobao.com/item.htm?id=702447915088","打开商品")</x:f>
        <x:v>HYPERLINK is not implemented. linkLocation=https://item.taobao.com/item.htm?id=702447915088, friendlyName=打开商品</x:v>
      </x:c>
      <x:c r="M766" s="25" t="e">
        <x:f>HYPERLINK("https://data.zhiyitech.cn/itemDetail/overview/base?itemId=702447915088","打开知衣")</x:f>
        <x:v>HYPERLINK is not implemented. linkLocation=https://data.zhiyitech.cn/itemDetail/overview/base?itemId=702447915088, friendlyName=打开知衣</x:v>
      </x:c>
      <x:c r="N766" s="25" t="e">
        <x:f>HYPERLINK("https://img.alicdn.com/bao/uploaded/i2/2212898900417/O1CN01MVXlGV1Ex1yBhF6Tb_!!0-item_pic.jpg","查看主图")</x:f>
        <x:v>HYPERLINK is not implemented. linkLocation=https://img.alicdn.com/bao/uploaded/i2/2212898900417/O1CN01MVXlGV1Ex1yBhF6Tb_!!0-item_pic.jpg, friendlyName=查看主图</x:v>
      </x:c>
      <x:c r="O766" s="9" t="str">
        <x:v>标题及既有类目语义复核；PURITE 精致迷人 | 绝美明绿粼粼光感 时髦亮片半裙；原类目及标题已能确认半身裙；展示使用已知大类，未知裙长下沉到结构字段，不强猜长短。</x:v>
      </x:c>
      <x:c r="P766" s="9" t="str">
        <x:v>普通男女装</x:v>
      </x:c>
      <x:c r="Q766" s="9" t="str">
        <x:v>W_SKIRTS_AVGPAID_1300_1400_ANNUAL2026.xlsx</x:v>
      </x:c>
      <x:c r="R766" s="9" t="str">
        <x:v>默认</x:v>
      </x:c>
      <x:c r="S766" s="9" t="n">
        <x:v>413</x:v>
      </x:c>
      <x:c r="T766" s="9" t="str">
        <x:v>bd4dae1e08e9eca7ddd0669235bf59107cdc418b9c2898fc16f36a7ab5748692</x:v>
      </x:c>
      <x:c r="U766" s="9" t="str">
        <x:v>W_SKIRTS_AVGPAID_1300_1400_ANNUAL2026</x:v>
      </x:c>
      <x:c r="V766" s="9" t="str">
        <x:v>W_SKIRTS_AVGPAID_1300_1400_ANNUAL2026.xlsx / 默认 / 第413行 / SHA256 bd4dae1e08e9eca7ddd0669235bf59107cdc418b9c2898fc16f36a7ab5748692</x:v>
      </x:c>
    </x:row>
    <x:row r="767" ht="58" customHeight="1">
      <x:c r="A767" s="23" t="str">
        <x:v>795017136154</x:v>
      </x:c>
      <x:c r="B767" s="22"/>
      <x:c r="C767" s="22"/>
      <x:c r="D767" s="22"/>
      <x:c r="E767" s="9" t="str">
        <x:v>裙长未明确</x:v>
      </x:c>
      <x:c r="F767" s="9" t="str">
        <x:v>裙装</x:v>
      </x:c>
      <x:c r="G767" s="9" t="str">
        <x:v>半身裙</x:v>
      </x:c>
      <x:c r="H767" s="9" t="str">
        <x:v>女</x:v>
      </x:c>
      <x:c r="I767" s="9" t="str">
        <x:v>PURITE 轻盈灵动 | 双重艺术拼接璀璨时尚亮片气质直筒半裙</x:v>
      </x:c>
      <x:c r="J767" s="9" t="str">
        <x:v>PURITYRING</x:v>
      </x:c>
      <x:c r="K767" s="24" t="n">
        <x:v>1700.16</x:v>
      </x:c>
      <x:c r="L767" s="25" t="e">
        <x:f>HYPERLINK("https://item.taobao.com/item.htm?id=795017136154","打开商品")</x:f>
        <x:v>HYPERLINK is not implemented. linkLocation=https://item.taobao.com/item.htm?id=795017136154, friendlyName=打开商品</x:v>
      </x:c>
      <x:c r="M767" s="25" t="e">
        <x:f>HYPERLINK("https://data.zhiyitech.cn/itemDetail/overview/base?itemId=795017136154","打开知衣")</x:f>
        <x:v>HYPERLINK is not implemented. linkLocation=https://data.zhiyitech.cn/itemDetail/overview/base?itemId=795017136154, friendlyName=打开知衣</x:v>
      </x:c>
      <x:c r="N767" s="25" t="e">
        <x:f>HYPERLINK("https://img.alicdn.com/bao/uploaded/i4/2212898900417/O1CN01Fxy8xx1Ex27GAjR1v_!!0-item_pic.jpg","查看主图")</x:f>
        <x:v>HYPERLINK is not implemented. linkLocation=https://img.alicdn.com/bao/uploaded/i4/2212898900417/O1CN01Fxy8xx1Ex27GAjR1v_!!0-item_pic.jpg, friendlyName=查看主图</x:v>
      </x:c>
      <x:c r="O767" s="9" t="str">
        <x:v>标题及既有类目语义复核；PURITE 轻盈灵动 | 双重艺术拼接璀璨时尚亮片气质直筒半裙；原类目及标题已能确认半身裙；展示使用已知大类，未知裙长下沉到结构字段，不强猜长短。</x:v>
      </x:c>
      <x:c r="P767" s="9" t="str">
        <x:v>普通男女装</x:v>
      </x:c>
      <x:c r="Q767" s="9" t="str">
        <x:v>W_SKIRTS_AVGPAID_1700_1800_ANNUAL2026.xlsx</x:v>
      </x:c>
      <x:c r="R767" s="9" t="str">
        <x:v>默认</x:v>
      </x:c>
      <x:c r="S767" s="9" t="n">
        <x:v>367</x:v>
      </x:c>
      <x:c r="T767" s="9" t="str">
        <x:v>c25ed77c53c7c5cfcf728778a0e9b297d8689503f62756a939cbd534ca9b587a</x:v>
      </x:c>
      <x:c r="U767" s="9" t="str">
        <x:v>W_SKIRTS_AVGPAID_1700_1800_ANNUAL2026</x:v>
      </x:c>
      <x:c r="V767" s="9" t="str">
        <x:v>W_SKIRTS_AVGPAID_1700_1800_ANNUAL2026.xlsx / 默认 / 第367行 / SHA256 c25ed77c53c7c5cfcf728778a0e9b297d8689503f62756a939cbd534ca9b587a</x:v>
      </x:c>
    </x:row>
    <x:row r="768" ht="58" customHeight="1">
      <x:c r="A768" s="23" t="str">
        <x:v>1020145393741</x:v>
      </x:c>
      <x:c r="B768" s="22"/>
      <x:c r="C768" s="22"/>
      <x:c r="D768" s="22"/>
      <x:c r="E768" s="9" t="str">
        <x:v>裙长未明确</x:v>
      </x:c>
      <x:c r="F768" s="9" t="str">
        <x:v>裙装</x:v>
      </x:c>
      <x:c r="G768" s="9" t="str">
        <x:v>半身裙</x:v>
      </x:c>
      <x:c r="H768" s="9" t="str">
        <x:v>女</x:v>
      </x:c>
      <x:c r="I768" s="9" t="str">
        <x:v>QIQIFUR 佩斯利印花收褶高腰半身裙女春夏新款度假风a字仙气半裙</x:v>
      </x:c>
      <x:c r="J768" s="9" t="str">
        <x:v>QIQIFUR</x:v>
      </x:c>
      <x:c r="K768" s="24" t="n">
        <x:v>1575.75</x:v>
      </x:c>
      <x:c r="L768" s="25" t="e">
        <x:f>HYPERLINK("https://item.taobao.com/item.htm?id=1020145393741","打开商品")</x:f>
        <x:v>HYPERLINK is not implemented. linkLocation=https://item.taobao.com/item.htm?id=1020145393741, friendlyName=打开商品</x:v>
      </x:c>
      <x:c r="M768" s="25" t="e">
        <x:f>HYPERLINK("https://data.zhiyitech.cn/itemDetail/overview/base?itemId=1020145393741","打开知衣")</x:f>
        <x:v>HYPERLINK is not implemented. linkLocation=https://data.zhiyitech.cn/itemDetail/overview/base?itemId=1020145393741, friendlyName=打开知衣</x:v>
      </x:c>
      <x:c r="N768" s="25" t="e">
        <x:f>HYPERLINK("https://img.alicdn.com/bao/uploaded/i4/690169318/O1CN01H7xPR62IhhfP4BvAz_!!690169318.jpg","查看主图")</x:f>
        <x:v>HYPERLINK is not implemented. linkLocation=https://img.alicdn.com/bao/uploaded/i4/690169318/O1CN01H7xPR62IhhfP4BvAz_!!690169318.jpg, friendlyName=查看主图</x:v>
      </x:c>
      <x:c r="O768" s="9" t="str">
        <x:v>标题及既有类目语义复核；QIQIFUR 佩斯利印花收褶高腰半身裙女春夏新款度假风a字仙气半裙；原类目及标题已能确认半身裙；展示使用已知大类，未知裙长下沉到结构字段，不强猜长短。</x:v>
      </x:c>
      <x:c r="P768" s="9" t="str">
        <x:v>普通男女装</x:v>
      </x:c>
      <x:c r="Q768" s="9" t="str">
        <x:v>W_SKIRTS_AVGPAID_1500_1600_ANNUAL2026.xlsx</x:v>
      </x:c>
      <x:c r="R768" s="9" t="str">
        <x:v>默认</x:v>
      </x:c>
      <x:c r="S768" s="9" t="n">
        <x:v>439</x:v>
      </x:c>
      <x:c r="T768" s="9" t="str">
        <x:v>deede8b56943df4f914be45dba170f12e69064023d6ef0e88dbde1764f6ba23e</x:v>
      </x:c>
      <x:c r="U768" s="9" t="str">
        <x:v>W_SKIRTS_AVGPAID_1500_1600_ANNUAL2026</x:v>
      </x:c>
      <x:c r="V768" s="9" t="str">
        <x:v>W_SKIRTS_AVGPAID_1500_1600_ANNUAL2026.xlsx / 默认 / 第439行 / SHA256 deede8b56943df4f914be45dba170f12e69064023d6ef0e88dbde1764f6ba23e</x:v>
      </x:c>
    </x:row>
    <x:row r="769" ht="58" customHeight="1">
      <x:c r="A769" s="23" t="str">
        <x:v>883935725184</x:v>
      </x:c>
      <x:c r="B769" s="22"/>
      <x:c r="C769" s="22"/>
      <x:c r="D769" s="22"/>
      <x:c r="E769" s="9" t="str">
        <x:v>裙长未明确</x:v>
      </x:c>
      <x:c r="F769" s="9" t="str">
        <x:v>裙装</x:v>
      </x:c>
      <x:c r="G769" s="9" t="str">
        <x:v>半身裙</x:v>
      </x:c>
      <x:c r="H769" s="9" t="str">
        <x:v>女</x:v>
      </x:c>
      <x:c r="I769" s="9" t="str">
        <x:v>RealisationPar 半身裙薄荷绿蛇纹真丝鱼尾半裙25蛇年 The Carmen</x:v>
      </x:c>
      <x:c r="J769" s="9" t="str">
        <x:v>REALISATION PAR</x:v>
      </x:c>
      <x:c r="K769" s="24" t="n">
        <x:v>1322.18</x:v>
      </x:c>
      <x:c r="L769" s="25" t="e">
        <x:f>HYPERLINK("https://item.taobao.com/item.htm?id=883935725184","打开商品")</x:f>
        <x:v>HYPERLINK is not implemented. linkLocation=https://item.taobao.com/item.htm?id=883935725184, friendlyName=打开商品</x:v>
      </x:c>
      <x:c r="M769" s="25" t="e">
        <x:f>HYPERLINK("https://data.zhiyitech.cn/itemDetail/overview/base?itemId=883935725184","打开知衣")</x:f>
        <x:v>HYPERLINK is not implemented. linkLocation=https://data.zhiyitech.cn/itemDetail/overview/base?itemId=883935725184, friendlyName=打开知衣</x:v>
      </x:c>
      <x:c r="N769" s="25" t="e">
        <x:f>HYPERLINK("https://img.alicdn.com/bao/uploaded/i1/2211340588861/O1CN01tj3Dcx2FKOZR5aEXG_!!4611686018427385661-0-item_pic.jpg","查看主图")</x:f>
        <x:v>HYPERLINK is not implemented. linkLocation=https://img.alicdn.com/bao/uploaded/i1/2211340588861/O1CN01tj3Dcx2FKOZR5aEXG_!!4611686018427385661-0-item_pic.jpg, friendlyName=查看主图</x:v>
      </x:c>
      <x:c r="O769" s="9" t="str">
        <x:v>标题及既有类目语义复核；RealisationPar 半身裙薄荷绿蛇纹真丝鱼尾半裙25蛇年 The Carmen；原类目及标题已能确认半身裙；展示使用已知大类，未知裙长下沉到结构字段，不强猜长短。</x:v>
      </x:c>
      <x:c r="P769" s="9" t="str">
        <x:v>普通男女装</x:v>
      </x:c>
      <x:c r="Q769" s="9" t="str">
        <x:v>W_SKIRTS_AVGPAID_1300_1400_ANNUAL2026.xlsx</x:v>
      </x:c>
      <x:c r="R769" s="9" t="str">
        <x:v>默认</x:v>
      </x:c>
      <x:c r="S769" s="9" t="n">
        <x:v>228</x:v>
      </x:c>
      <x:c r="T769" s="9" t="str">
        <x:v>bd4dae1e08e9eca7ddd0669235bf59107cdc418b9c2898fc16f36a7ab5748692</x:v>
      </x:c>
      <x:c r="U769" s="9" t="str">
        <x:v>W_SKIRTS_AVGPAID_1300_1400_ANNUAL2026</x:v>
      </x:c>
      <x:c r="V769" s="9" t="str">
        <x:v>W_SKIRTS_AVGPAID_1300_1400_ANNUAL2026.xlsx / 默认 / 第228行 / SHA256 bd4dae1e08e9eca7ddd0669235bf59107cdc418b9c2898fc16f36a7ab5748692</x:v>
      </x:c>
    </x:row>
    <x:row r="770" ht="58" customHeight="1">
      <x:c r="A770" s="23" t="str">
        <x:v>1057295764616</x:v>
      </x:c>
      <x:c r="B770" s="22"/>
      <x:c r="C770" s="22"/>
      <x:c r="D770" s="22"/>
      <x:c r="E770" s="9" t="str">
        <x:v>裙长未明确</x:v>
      </x:c>
      <x:c r="F770" s="9" t="str">
        <x:v>裙装</x:v>
      </x:c>
      <x:c r="G770" s="9" t="str">
        <x:v>半身裙</x:v>
      </x:c>
      <x:c r="H770" s="9" t="str">
        <x:v>女</x:v>
      </x:c>
      <x:c r="I770" s="9" t="str">
        <x:v>【Sale】RODERIC WONG 皱感造型半裙配可拆衬裙女装春夏JUNESHAN</x:v>
      </x:c>
      <x:c r="J770" s="9" t="str">
        <x:v>RODERIC WONG</x:v>
      </x:c>
      <x:c r="K770" s="24" t="n">
        <x:v>1303.49</x:v>
      </x:c>
      <x:c r="L770" s="25" t="e">
        <x:f>HYPERLINK("https://item.taobao.com/item.htm?id=1057295764616","打开商品")</x:f>
        <x:v>HYPERLINK is not implemented. linkLocation=https://item.taobao.com/item.htm?id=1057295764616, friendlyName=打开商品</x:v>
      </x:c>
      <x:c r="M770" s="25" t="e">
        <x:f>HYPERLINK("https://data.zhiyitech.cn/itemDetail/overview/base?itemId=1057295764616","打开知衣")</x:f>
        <x:v>HYPERLINK is not implemented. linkLocation=https://data.zhiyitech.cn/itemDetail/overview/base?itemId=1057295764616, friendlyName=打开知衣</x:v>
      </x:c>
      <x:c r="N770" s="25" t="e">
        <x:f>HYPERLINK("https://img.alicdn.com/bao/uploaded/i4/2204762071/O1CN01uunoYY1RAZP2zT1Fo_!!2204762071.jpg","查看主图")</x:f>
        <x:v>HYPERLINK is not implemented. linkLocation=https://img.alicdn.com/bao/uploaded/i4/2204762071/O1CN01uunoYY1RAZP2zT1Fo_!!2204762071.jpg, friendlyName=查看主图</x:v>
      </x:c>
      <x:c r="O770" s="9" t="str">
        <x:v>标题及既有类目语义复核；【Sale】RODERIC WONG 皱感造型半裙配可拆衬裙女装春夏JUNESHAN；原类目及标题已能确认半身裙；展示使用已知大类，未知裙长下沉到结构字段，不强猜长短。</x:v>
      </x:c>
      <x:c r="P770" s="9" t="str">
        <x:v>普通男女装</x:v>
      </x:c>
      <x:c r="Q770" s="9" t="str">
        <x:v>W_SKIRTS_AVGPAID_1300_1400_ANNUAL2026.xlsx</x:v>
      </x:c>
      <x:c r="R770" s="9" t="str">
        <x:v>默认</x:v>
      </x:c>
      <x:c r="S770" s="9" t="n">
        <x:v>365</x:v>
      </x:c>
      <x:c r="T770" s="9" t="str">
        <x:v>bd4dae1e08e9eca7ddd0669235bf59107cdc418b9c2898fc16f36a7ab5748692</x:v>
      </x:c>
      <x:c r="U770" s="9" t="str">
        <x:v>W_SKIRTS_AVGPAID_1300_1400_ANNUAL2026</x:v>
      </x:c>
      <x:c r="V770" s="9" t="str">
        <x:v>W_SKIRTS_AVGPAID_1300_1400_ANNUAL2026.xlsx / 默认 / 第365行 / SHA256 bd4dae1e08e9eca7ddd0669235bf59107cdc418b9c2898fc16f36a7ab5748692</x:v>
      </x:c>
    </x:row>
    <x:row r="771" ht="58" customHeight="1">
      <x:c r="A771" s="23" t="str">
        <x:v>989203899518</x:v>
      </x:c>
      <x:c r="B771" s="22"/>
      <x:c r="C771" s="22"/>
      <x:c r="D771" s="22"/>
      <x:c r="E771" s="9" t="str">
        <x:v>裙长未明确</x:v>
      </x:c>
      <x:c r="F771" s="9" t="str">
        <x:v>裙装</x:v>
      </x:c>
      <x:c r="G771" s="9" t="str">
        <x:v>半身裙</x:v>
      </x:c>
      <x:c r="H771" s="9" t="str">
        <x:v>女</x:v>
      </x:c>
      <x:c r="I771" s="9" t="str">
        <x:v>植鞣羊皮哑光直筒皮半裙</x:v>
      </x:c>
      <x:c r="J771" s="9" t="str">
        <x:v>ROMI STUDIO</x:v>
      </x:c>
      <x:c r="K771" s="24" t="n">
        <x:v>1519.99</x:v>
      </x:c>
      <x:c r="L771" s="25" t="e">
        <x:f>HYPERLINK("https://item.taobao.com/item.htm?id=989203899518","打开商品")</x:f>
        <x:v>HYPERLINK is not implemented. linkLocation=https://item.taobao.com/item.htm?id=989203899518, friendlyName=打开商品</x:v>
      </x:c>
      <x:c r="M771" s="25" t="e">
        <x:f>HYPERLINK("https://data.zhiyitech.cn/itemDetail/overview/base?itemId=989203899518","打开知衣")</x:f>
        <x:v>HYPERLINK is not implemented. linkLocation=https://data.zhiyitech.cn/itemDetail/overview/base?itemId=989203899518, friendlyName=打开知衣</x:v>
      </x:c>
      <x:c r="N771" s="25" t="e">
        <x:f>HYPERLINK("https://img.alicdn.com/bao/uploaded/i4/806682125/O1CN015nt6Tc1RZIjwuxjrB_!!806682125.jpg","查看主图")</x:f>
        <x:v>HYPERLINK is not implemented. linkLocation=https://img.alicdn.com/bao/uploaded/i4/806682125/O1CN015nt6Tc1RZIjwuxjrB_!!806682125.jpg, friendlyName=查看主图</x:v>
      </x:c>
      <x:c r="O771" s="9" t="str">
        <x:v>标题及既有类目语义复核；植鞣羊皮哑光直筒皮半裙；原类目及标题已能确认半身裙；展示使用已知大类，未知裙长下沉到结构字段，不强猜长短。</x:v>
      </x:c>
      <x:c r="P771" s="9" t="str">
        <x:v>普通男女装</x:v>
      </x:c>
      <x:c r="Q771" s="9" t="str">
        <x:v>W_SKIRTS_AVGPAID_1500_1600_ANNUAL2026.xlsx</x:v>
      </x:c>
      <x:c r="R771" s="9" t="str">
        <x:v>默认</x:v>
      </x:c>
      <x:c r="S771" s="9" t="n">
        <x:v>158</x:v>
      </x:c>
      <x:c r="T771" s="9" t="str">
        <x:v>deede8b56943df4f914be45dba170f12e69064023d6ef0e88dbde1764f6ba23e</x:v>
      </x:c>
      <x:c r="U771" s="9" t="str">
        <x:v>W_SKIRTS_AVGPAID_1500_1600_ANNUAL2026</x:v>
      </x:c>
      <x:c r="V771" s="9" t="str">
        <x:v>W_SKIRTS_AVGPAID_1500_1600_ANNUAL2026.xlsx / 默认 / 第158行 / SHA256 deede8b56943df4f914be45dba170f12e69064023d6ef0e88dbde1764f6ba23e</x:v>
      </x:c>
    </x:row>
    <x:row r="772" ht="58" customHeight="1">
      <x:c r="A772" s="23" t="str">
        <x:v>991468651854</x:v>
      </x:c>
      <x:c r="B772" s="22"/>
      <x:c r="C772" s="22"/>
      <x:c r="D772" s="22"/>
      <x:c r="E772" s="9" t="str">
        <x:v>裙长未明确</x:v>
      </x:c>
      <x:c r="F772" s="9" t="str">
        <x:v>裙装</x:v>
      </x:c>
      <x:c r="G772" s="9" t="str">
        <x:v>半身裙</x:v>
      </x:c>
      <x:c r="H772" s="9" t="str">
        <x:v>女</x:v>
      </x:c>
      <x:c r="I772" s="9" t="str">
        <x:v>我是摩羯 羊皮半裙 苏丹进口羊皮绒时尚百搭秋冬裙子</x:v>
      </x:c>
      <x:c r="J772" s="9" t="str">
        <x:v>RUIENCO./我是摩羯</x:v>
      </x:c>
      <x:c r="K772" s="24" t="n">
        <x:v>1778.7</x:v>
      </x:c>
      <x:c r="L772" s="25" t="e">
        <x:f>HYPERLINK("https://item.taobao.com/item.htm?id=991468651854","打开商品")</x:f>
        <x:v>HYPERLINK is not implemented. linkLocation=https://item.taobao.com/item.htm?id=991468651854, friendlyName=打开商品</x:v>
      </x:c>
      <x:c r="M772" s="25" t="e">
        <x:f>HYPERLINK("https://data.zhiyitech.cn/itemDetail/overview/base?itemId=991468651854","打开知衣")</x:f>
        <x:v>HYPERLINK is not implemented. linkLocation=https://data.zhiyitech.cn/itemDetail/overview/base?itemId=991468651854, friendlyName=打开知衣</x:v>
      </x:c>
      <x:c r="N772" s="25" t="e">
        <x:f>HYPERLINK("https://img.alicdn.com/bao/uploaded/i3/2908535045/O1CN016H5Kst1n8fGUN1fgj_!!2908535045.jpg","查看主图")</x:f>
        <x:v>HYPERLINK is not implemented. linkLocation=https://img.alicdn.com/bao/uploaded/i3/2908535045/O1CN016H5Kst1n8fGUN1fgj_!!2908535045.jpg, friendlyName=查看主图</x:v>
      </x:c>
      <x:c r="O772" s="9" t="str">
        <x:v>标题及既有类目语义复核；我是摩羯 羊皮半裙 苏丹进口羊皮绒时尚百搭秋冬裙子；原类目及标题已能确认半身裙；展示使用已知大类，未知裙长下沉到结构字段，不强猜长短。</x:v>
      </x:c>
      <x:c r="P772" s="9" t="str">
        <x:v>普通男女装</x:v>
      </x:c>
      <x:c r="Q772" s="9" t="str">
        <x:v>W_SKIRTS_AVGPAID_1700_1800_ANNUAL2026.xlsx</x:v>
      </x:c>
      <x:c r="R772" s="9" t="str">
        <x:v>默认</x:v>
      </x:c>
      <x:c r="S772" s="9" t="n">
        <x:v>64</x:v>
      </x:c>
      <x:c r="T772" s="9" t="str">
        <x:v>c25ed77c53c7c5cfcf728778a0e9b297d8689503f62756a939cbd534ca9b587a</x:v>
      </x:c>
      <x:c r="U772" s="9" t="str">
        <x:v>W_SKIRTS_AVGPAID_1700_1800_ANNUAL2026</x:v>
      </x:c>
      <x:c r="V772" s="9" t="str">
        <x:v>W_SKIRTS_AVGPAID_1700_1800_ANNUAL2026.xlsx / 默认 / 第64行 / SHA256 c25ed77c53c7c5cfcf728778a0e9b297d8689503f62756a939cbd534ca9b587a</x:v>
      </x:c>
    </x:row>
    <x:row r="773" ht="58" customHeight="1">
      <x:c r="A773" s="23" t="str">
        <x:v>897611102209</x:v>
      </x:c>
      <x:c r="B773" s="22"/>
      <x:c r="C773" s="22"/>
      <x:c r="D773" s="22"/>
      <x:c r="E773" s="9" t="str">
        <x:v>裙长未明确</x:v>
      </x:c>
      <x:c r="F773" s="9" t="str">
        <x:v>裙装</x:v>
      </x:c>
      <x:c r="G773" s="9" t="str">
        <x:v>半身裙</x:v>
      </x:c>
      <x:c r="H773" s="9" t="str">
        <x:v>女</x:v>
      </x:c>
      <x:c r="I773" s="9" t="str">
        <x:v>【明星同款】RuirUirul丝绒半裙夏季新品拼色修身鱼尾半身裙</x:v>
      </x:c>
      <x:c r="J773" s="9" t="str">
        <x:v>RUIRUIRUI</x:v>
      </x:c>
      <x:c r="K773" s="24" t="n">
        <x:v>1756.31</x:v>
      </x:c>
      <x:c r="L773" s="25" t="e">
        <x:f>HYPERLINK("https://item.taobao.com/item.htm?id=897611102209","打开商品")</x:f>
        <x:v>HYPERLINK is not implemented. linkLocation=https://item.taobao.com/item.htm?id=897611102209, friendlyName=打开商品</x:v>
      </x:c>
      <x:c r="M773" s="25" t="e">
        <x:f>HYPERLINK("https://data.zhiyitech.cn/itemDetail/overview/base?itemId=897611102209","打开知衣")</x:f>
        <x:v>HYPERLINK is not implemented. linkLocation=https://data.zhiyitech.cn/itemDetail/overview/base?itemId=897611102209, friendlyName=打开知衣</x:v>
      </x:c>
      <x:c r="N773" s="25" t="e">
        <x:f>HYPERLINK("https://img.alicdn.com/bao/uploaded/i4/2214162324160/O1CN01j9V3DM1gbKfo8Zw8M_!!4611686018427386560-0-item_pic.jpg","查看主图")</x:f>
        <x:v>HYPERLINK is not implemented. linkLocation=https://img.alicdn.com/bao/uploaded/i4/2214162324160/O1CN01j9V3DM1gbKfo8Zw8M_!!4611686018427386560-0-item_pic.jpg, friendlyName=查看主图</x:v>
      </x:c>
      <x:c r="O773" s="9" t="str">
        <x:v>标题及既有类目语义复核；【明星同款】RuirUirul丝绒半裙夏季新品拼色修身鱼尾半身裙；原类目及标题已能确认半身裙；展示使用已知大类，未知裙长下沉到结构字段，不强猜长短。</x:v>
      </x:c>
      <x:c r="P773" s="9" t="str">
        <x:v>普通男女装</x:v>
      </x:c>
      <x:c r="Q773" s="9" t="str">
        <x:v>W_SKIRTS_AVGPAID_1700_1800_ANNUAL2026.xlsx</x:v>
      </x:c>
      <x:c r="R773" s="9" t="str">
        <x:v>默认</x:v>
      </x:c>
      <x:c r="S773" s="9" t="n">
        <x:v>463</x:v>
      </x:c>
      <x:c r="T773" s="9" t="str">
        <x:v>c25ed77c53c7c5cfcf728778a0e9b297d8689503f62756a939cbd534ca9b587a</x:v>
      </x:c>
      <x:c r="U773" s="9" t="str">
        <x:v>W_SKIRTS_AVGPAID_1700_1800_ANNUAL2026</x:v>
      </x:c>
      <x:c r="V773" s="9" t="str">
        <x:v>W_SKIRTS_AVGPAID_1700_1800_ANNUAL2026.xlsx / 默认 / 第463行 / SHA256 c25ed77c53c7c5cfcf728778a0e9b297d8689503f62756a939cbd534ca9b587a</x:v>
      </x:c>
    </x:row>
    <x:row r="774" ht="58" customHeight="1">
      <x:c r="A774" s="23" t="str">
        <x:v>1047225370068</x:v>
      </x:c>
      <x:c r="B774" s="22"/>
      <x:c r="C774" s="22"/>
      <x:c r="D774" s="22"/>
      <x:c r="E774" s="9" t="str">
        <x:v>裙长未明确</x:v>
      </x:c>
      <x:c r="F774" s="9" t="str">
        <x:v>裙装</x:v>
      </x:c>
      <x:c r="G774" s="9" t="str">
        <x:v>半身裙</x:v>
      </x:c>
      <x:c r="H774" s="9" t="str">
        <x:v>女</x:v>
      </x:c>
      <x:c r="I774" s="9" t="str">
        <x:v>Liberty进口长绒棉印花仙气半裙</x:v>
      </x:c>
      <x:c r="J774" s="9" t="str">
        <x:v>RUMERE/戎美</x:v>
      </x:c>
      <x:c r="K774" s="24" t="n">
        <x:v>1396.43</x:v>
      </x:c>
      <x:c r="L774" s="25" t="e">
        <x:f>HYPERLINK("https://item.taobao.com/item.htm?id=1047225370068","打开商品")</x:f>
        <x:v>HYPERLINK is not implemented. linkLocation=https://item.taobao.com/item.htm?id=1047225370068, friendlyName=打开商品</x:v>
      </x:c>
      <x:c r="M774" s="25" t="e">
        <x:f>HYPERLINK("https://data.zhiyitech.cn/itemDetail/overview/base?itemId=1047225370068","打开知衣")</x:f>
        <x:v>HYPERLINK is not implemented. linkLocation=https://data.zhiyitech.cn/itemDetail/overview/base?itemId=1047225370068, friendlyName=打开知衣</x:v>
      </x:c>
      <x:c r="N774" s="25" t="e">
        <x:f>HYPERLINK("https://img.alicdn.com/bao/uploaded/i4/2210369896/O1CN01EIVzy52MyQbXAnuwV_!!4611686018427384168-0-item_pic.jpg","查看主图")</x:f>
        <x:v>HYPERLINK is not implemented. linkLocation=https://img.alicdn.com/bao/uploaded/i4/2210369896/O1CN01EIVzy52MyQbXAnuwV_!!4611686018427384168-0-item_pic.jpg, friendlyName=查看主图</x:v>
      </x:c>
      <x:c r="O774" s="9" t="str">
        <x:v>标题及既有类目语义复核；Liberty进口长绒棉印花仙气半裙；原类目及标题已能确认半身裙；展示使用已知大类，未知裙长下沉到结构字段，不强猜长短。</x:v>
      </x:c>
      <x:c r="P774" s="9" t="str">
        <x:v>普通男女装</x:v>
      </x:c>
      <x:c r="Q774" s="9" t="str">
        <x:v>W_SKIRTS_AVGPAID_1300_1400_ANNUAL2026.xlsx</x:v>
      </x:c>
      <x:c r="R774" s="9" t="str">
        <x:v>默认</x:v>
      </x:c>
      <x:c r="S774" s="9" t="n">
        <x:v>171</x:v>
      </x:c>
      <x:c r="T774" s="9" t="str">
        <x:v>bd4dae1e08e9eca7ddd0669235bf59107cdc418b9c2898fc16f36a7ab5748692</x:v>
      </x:c>
      <x:c r="U774" s="9" t="str">
        <x:v>W_SKIRTS_AVGPAID_1300_1400_ANNUAL2026</x:v>
      </x:c>
      <x:c r="V774" s="9" t="str">
        <x:v>W_SKIRTS_AVGPAID_1300_1400_ANNUAL2026.xlsx / 默认 / 第171行 / SHA256 bd4dae1e08e9eca7ddd0669235bf59107cdc418b9c2898fc16f36a7ab5748692</x:v>
      </x:c>
    </x:row>
    <x:row r="775" ht="58" customHeight="1">
      <x:c r="A775" s="23" t="str">
        <x:v>1077926068266</x:v>
      </x:c>
      <x:c r="B775" s="22"/>
      <x:c r="C775" s="22"/>
      <x:c r="D775" s="22"/>
      <x:c r="E775" s="9" t="str">
        <x:v>裙长未明确</x:v>
      </x:c>
      <x:c r="F775" s="9" t="str">
        <x:v>裙装</x:v>
      </x:c>
      <x:c r="G775" s="9" t="str">
        <x:v>半身裙</x:v>
      </x:c>
      <x:c r="H775" s="9" t="str">
        <x:v>女</x:v>
      </x:c>
      <x:c r="I775" s="9" t="str">
        <x:v>95精纺山羊绒5弹力双层织显高瘦</x:v>
      </x:c>
      <x:c r="J775" s="9" t="str">
        <x:v>RUMERE/戎美</x:v>
      </x:c>
      <x:c r="K775" s="24" t="n">
        <x:v>1550</x:v>
      </x:c>
      <x:c r="L775" s="25" t="e">
        <x:f>HYPERLINK("https://item.taobao.com/item.htm?id=1077926068266","打开商品")</x:f>
        <x:v>HYPERLINK is not implemented. linkLocation=https://item.taobao.com/item.htm?id=1077926068266, friendlyName=打开商品</x:v>
      </x:c>
      <x:c r="M775" s="25" t="e">
        <x:f>HYPERLINK("https://data.zhiyitech.cn/itemDetail/overview/base?itemId=1077926068266","打开知衣")</x:f>
        <x:v>HYPERLINK is not implemented. linkLocation=https://data.zhiyitech.cn/itemDetail/overview/base?itemId=1077926068266, friendlyName=打开知衣</x:v>
      </x:c>
      <x:c r="N775" s="25" t="e">
        <x:f>HYPERLINK("https://img.alicdn.com/bao/uploaded/i2/35199816/O1CN01T26Z2dGp1XB3FPpA_!!35199816.jpg","查看主图")</x:f>
        <x:v>HYPERLINK is not implemented. linkLocation=https://img.alicdn.com/bao/uploaded/i2/35199816/O1CN01T26Z2dGp1XB3FPpA_!!35199816.jpg, friendlyName=查看主图</x:v>
      </x:c>
      <x:c r="O775" s="9" t="str">
        <x:v>标题及既有类目语义复核；95精纺山羊绒5弹力双层织显高瘦；原类目及标题已能确认半身裙；展示使用已知大类，未知裙长下沉到结构字段，不强猜长短。</x:v>
      </x:c>
      <x:c r="P775" s="9" t="str">
        <x:v>普通男女装</x:v>
      </x:c>
      <x:c r="Q775" s="9" t="str">
        <x:v>W_SKIRTS_AVGPAID_1500_1600_ANNUAL2026.xlsx</x:v>
      </x:c>
      <x:c r="R775" s="9" t="str">
        <x:v>默认</x:v>
      </x:c>
      <x:c r="S775" s="9" t="n">
        <x:v>345</x:v>
      </x:c>
      <x:c r="T775" s="9" t="str">
        <x:v>deede8b56943df4f914be45dba170f12e69064023d6ef0e88dbde1764f6ba23e</x:v>
      </x:c>
      <x:c r="U775" s="9" t="str">
        <x:v>W_SKIRTS_AVGPAID_1500_1600_ANNUAL2026</x:v>
      </x:c>
      <x:c r="V775" s="9" t="str">
        <x:v>W_SKIRTS_AVGPAID_1500_1600_ANNUAL2026.xlsx / 默认 / 第345行 / SHA256 deede8b56943df4f914be45dba170f12e69064023d6ef0e88dbde1764f6ba23e</x:v>
      </x:c>
    </x:row>
    <x:row r="776" ht="58" customHeight="1">
      <x:c r="A776" s="23" t="str">
        <x:v>1006742991297</x:v>
      </x:c>
      <x:c r="B776" s="22"/>
      <x:c r="C776" s="22"/>
      <x:c r="D776" s="22"/>
      <x:c r="E776" s="9" t="str">
        <x:v>裙长未明确</x:v>
      </x:c>
      <x:c r="F776" s="9" t="str">
        <x:v>裙装</x:v>
      </x:c>
      <x:c r="G776" s="9" t="str">
        <x:v>半身裙</x:v>
      </x:c>
      <x:c r="H776" s="9" t="str">
        <x:v>女</x:v>
      </x:c>
      <x:c r="I776" s="9" t="str">
        <x:v>SANDRO2026夏季新款女装法式时尚波浪条纹花边高腰A字针织半身裙</x:v>
      </x:c>
      <x:c r="J776" s="9" t="str">
        <x:v>SANDRO</x:v>
      </x:c>
      <x:c r="K776" s="24" t="n">
        <x:v>1543.33</x:v>
      </x:c>
      <x:c r="L776" s="25" t="e">
        <x:f>HYPERLINK("https://item.taobao.com/item.htm?id=1006742991297","打开商品")</x:f>
        <x:v>HYPERLINK is not implemented. linkLocation=https://item.taobao.com/item.htm?id=1006742991297, friendlyName=打开商品</x:v>
      </x:c>
      <x:c r="M776" s="25" t="e">
        <x:f>HYPERLINK("https://data.zhiyitech.cn/itemDetail/overview/base?itemId=1006742991297","打开知衣")</x:f>
        <x:v>HYPERLINK is not implemented. linkLocation=https://data.zhiyitech.cn/itemDetail/overview/base?itemId=1006742991297, friendlyName=打开知衣</x:v>
      </x:c>
      <x:c r="N776" s="25" t="e">
        <x:f>HYPERLINK("https://img.alicdn.com/bao/uploaded/i3/2824260419/O1CN01ewHWfJNjBrE1chua_!!4611686018427382595-0-item_pic.jpg","查看主图")</x:f>
        <x:v>HYPERLINK is not implemented. linkLocation=https://img.alicdn.com/bao/uploaded/i3/2824260419/O1CN01ewHWfJNjBrE1chua_!!4611686018427382595-0-item_pic.jpg, friendlyName=查看主图</x:v>
      </x:c>
      <x:c r="O776" s="9" t="str">
        <x:v>标题及既有类目语义复核；SANDRO2026夏季新款女装法式时尚波浪条纹花边高腰A字针织半身裙；原类目及标题已能确认半身裙；展示使用已知大类，未知裙长下沉到结构字段，不强猜长短。</x:v>
      </x:c>
      <x:c r="P776" s="9" t="str">
        <x:v>普通男女装</x:v>
      </x:c>
      <x:c r="Q776" s="9" t="str">
        <x:v>W_SKIRTS_AVGPAID_1500_1600_ANNUAL2026.xlsx</x:v>
      </x:c>
      <x:c r="R776" s="9" t="str">
        <x:v>默认</x:v>
      </x:c>
      <x:c r="S776" s="9" t="n">
        <x:v>417</x:v>
      </x:c>
      <x:c r="T776" s="9" t="str">
        <x:v>deede8b56943df4f914be45dba170f12e69064023d6ef0e88dbde1764f6ba23e</x:v>
      </x:c>
      <x:c r="U776" s="9" t="str">
        <x:v>W_SKIRTS_AVGPAID_1500_1600_ANNUAL2026</x:v>
      </x:c>
      <x:c r="V776" s="9" t="str">
        <x:v>W_SKIRTS_AVGPAID_1500_1600_ANNUAL2026.xlsx / 默认 / 第417行 / SHA256 deede8b56943df4f914be45dba170f12e69064023d6ef0e88dbde1764f6ba23e</x:v>
      </x:c>
    </x:row>
    <x:row r="777" ht="58" customHeight="1">
      <x:c r="A777" s="23" t="str">
        <x:v>1007365826118</x:v>
      </x:c>
      <x:c r="B777" s="22"/>
      <x:c r="C777" s="22"/>
      <x:c r="D777" s="22"/>
      <x:c r="E777" s="9" t="str">
        <x:v>裙长未明确</x:v>
      </x:c>
      <x:c r="F777" s="9" t="str">
        <x:v>裙装</x:v>
      </x:c>
      <x:c r="G777" s="9" t="str">
        <x:v>半身裙</x:v>
      </x:c>
      <x:c r="H777" s="9" t="str">
        <x:v>女</x:v>
      </x:c>
      <x:c r="I777" s="9" t="str">
        <x:v>SANDRO镂空A字针织半身裙</x:v>
      </x:c>
      <x:c r="J777" s="9" t="str">
        <x:v>SANDRO</x:v>
      </x:c>
      <x:c r="K777" s="24" t="n">
        <x:v>1734.93</x:v>
      </x:c>
      <x:c r="L777" s="25" t="e">
        <x:f>HYPERLINK("https://item.taobao.com/item.htm?id=1007365826118","打开商品")</x:f>
        <x:v>HYPERLINK is not implemented. linkLocation=https://item.taobao.com/item.htm?id=1007365826118, friendlyName=打开商品</x:v>
      </x:c>
      <x:c r="M777" s="25" t="e">
        <x:f>HYPERLINK("https://data.zhiyitech.cn/itemDetail/overview/base?itemId=1007365826118","打开知衣")</x:f>
        <x:v>HYPERLINK is not implemented. linkLocation=https://data.zhiyitech.cn/itemDetail/overview/base?itemId=1007365826118, friendlyName=打开知衣</x:v>
      </x:c>
      <x:c r="N777" s="25" t="e">
        <x:f>HYPERLINK("https://img.alicdn.com/bao/uploaded/i1/2824260419/O1CN01KSOpvpyKewJ1chua_!!4611686018427382595-0-item_pic.jpg","查看主图")</x:f>
        <x:v>HYPERLINK is not implemented. linkLocation=https://img.alicdn.com/bao/uploaded/i1/2824260419/O1CN01KSOpvpyKewJ1chua_!!4611686018427382595-0-item_pic.jpg, friendlyName=查看主图</x:v>
      </x:c>
      <x:c r="O777" s="9" t="str">
        <x:v>标题及既有类目语义复核；SANDRO镂空A字针织半身裙；原类目及标题已能确认半身裙；展示使用已知大类，未知裙长下沉到结构字段，不强猜长短。</x:v>
      </x:c>
      <x:c r="P777" s="9" t="str">
        <x:v>普通男女装</x:v>
      </x:c>
      <x:c r="Q777" s="9" t="str">
        <x:v>W_SKIRTS_AVGPAID_1700_1800_ANNUAL2026.xlsx</x:v>
      </x:c>
      <x:c r="R777" s="9" t="str">
        <x:v>默认</x:v>
      </x:c>
      <x:c r="S777" s="9" t="n">
        <x:v>73</x:v>
      </x:c>
      <x:c r="T777" s="9" t="str">
        <x:v>c25ed77c53c7c5cfcf728778a0e9b297d8689503f62756a939cbd534ca9b587a</x:v>
      </x:c>
      <x:c r="U777" s="9" t="str">
        <x:v>W_SKIRTS_AVGPAID_1700_1800_ANNUAL2026</x:v>
      </x:c>
      <x:c r="V777" s="9" t="str">
        <x:v>W_SKIRTS_AVGPAID_1700_1800_ANNUAL2026.xlsx / 默认 / 第73行 / SHA256 c25ed77c53c7c5cfcf728778a0e9b297d8689503f62756a939cbd534ca9b587a</x:v>
      </x:c>
    </x:row>
    <x:row r="778" ht="58" customHeight="1">
      <x:c r="A778" s="23" t="str">
        <x:v>1009136112079</x:v>
      </x:c>
      <x:c r="B778" s="22"/>
      <x:c r="C778" s="22"/>
      <x:c r="D778" s="22"/>
      <x:c r="E778" s="9" t="str">
        <x:v>裙长未明确</x:v>
      </x:c>
      <x:c r="F778" s="9" t="str">
        <x:v>裙装</x:v>
      </x:c>
      <x:c r="G778" s="9" t="str">
        <x:v>半身裙</x:v>
      </x:c>
      <x:c r="H778" s="9" t="str">
        <x:v>女</x:v>
      </x:c>
      <x:c r="I778" s="9" t="str">
        <x:v>SANDRO拼接牛仔A字半身裙</x:v>
      </x:c>
      <x:c r="J778" s="9" t="str">
        <x:v>SANDRO</x:v>
      </x:c>
      <x:c r="K778" s="24" t="n">
        <x:v>1776.18</x:v>
      </x:c>
      <x:c r="L778" s="25" t="e">
        <x:f>HYPERLINK("https://item.taobao.com/item.htm?id=1009136112079","打开商品")</x:f>
        <x:v>HYPERLINK is not implemented. linkLocation=https://item.taobao.com/item.htm?id=1009136112079, friendlyName=打开商品</x:v>
      </x:c>
      <x:c r="M778" s="25" t="e">
        <x:f>HYPERLINK("https://data.zhiyitech.cn/itemDetail/overview/base?itemId=1009136112079","打开知衣")</x:f>
        <x:v>HYPERLINK is not implemented. linkLocation=https://data.zhiyitech.cn/itemDetail/overview/base?itemId=1009136112079, friendlyName=打开知衣</x:v>
      </x:c>
      <x:c r="N778" s="25" t="e">
        <x:f>HYPERLINK("https://img.alicdn.com/bao/uploaded/i4/2824260419/O1CN01z96brZ7kIDL1chua_!!2824260419.jpg","查看主图")</x:f>
        <x:v>HYPERLINK is not implemented. linkLocation=https://img.alicdn.com/bao/uploaded/i4/2824260419/O1CN01z96brZ7kIDL1chua_!!2824260419.jpg, friendlyName=查看主图</x:v>
      </x:c>
      <x:c r="O778" s="9" t="str">
        <x:v>标题及既有类目语义复核；SANDRO拼接牛仔A字半身裙；原类目及标题已能确认半身裙；展示使用已知大类，未知裙长下沉到结构字段，不强猜长短。</x:v>
      </x:c>
      <x:c r="P778" s="9" t="str">
        <x:v>普通男女装</x:v>
      </x:c>
      <x:c r="Q778" s="9" t="str">
        <x:v>W_SKIRTS_AVGPAID_1700_1800_ANNUAL2026.xlsx</x:v>
      </x:c>
      <x:c r="R778" s="9" t="str">
        <x:v>默认</x:v>
      </x:c>
      <x:c r="S778" s="9" t="n">
        <x:v>197</x:v>
      </x:c>
      <x:c r="T778" s="9" t="str">
        <x:v>c25ed77c53c7c5cfcf728778a0e9b297d8689503f62756a939cbd534ca9b587a</x:v>
      </x:c>
      <x:c r="U778" s="9" t="str">
        <x:v>W_SKIRTS_AVGPAID_1700_1800_ANNUAL2026</x:v>
      </x:c>
      <x:c r="V778" s="9" t="str">
        <x:v>W_SKIRTS_AVGPAID_1700_1800_ANNUAL2026.xlsx / 默认 / 第197行 / SHA256 c25ed77c53c7c5cfcf728778a0e9b297d8689503f62756a939cbd534ca9b587a</x:v>
      </x:c>
    </x:row>
    <x:row r="779" ht="58" customHeight="1">
      <x:c r="A779" s="23" t="str">
        <x:v>831317935996</x:v>
      </x:c>
      <x:c r="B779" s="22"/>
      <x:c r="C779" s="22"/>
      <x:c r="D779" s="22"/>
      <x:c r="E779" s="9" t="str">
        <x:v>裙长未明确</x:v>
      </x:c>
      <x:c r="F779" s="9" t="str">
        <x:v>裙装</x:v>
      </x:c>
      <x:c r="G779" s="9" t="str">
        <x:v>半身裙</x:v>
      </x:c>
      <x:c r="H779" s="9" t="str">
        <x:v>女</x:v>
      </x:c>
      <x:c r="I779" s="9" t="str">
        <x:v>SANDRO女装复古格纹A字半身裙</x:v>
      </x:c>
      <x:c r="J779" s="9" t="str">
        <x:v>SANDRO</x:v>
      </x:c>
      <x:c r="K779" s="24" t="n">
        <x:v>1335.47</x:v>
      </x:c>
      <x:c r="L779" s="25" t="e">
        <x:f>HYPERLINK("https://item.taobao.com/item.htm?id=831317935996","打开商品")</x:f>
        <x:v>HYPERLINK is not implemented. linkLocation=https://item.taobao.com/item.htm?id=831317935996, friendlyName=打开商品</x:v>
      </x:c>
      <x:c r="M779" s="25" t="e">
        <x:f>HYPERLINK("https://data.zhiyitech.cn/itemDetail/overview/base?itemId=831317935996","打开知衣")</x:f>
        <x:v>HYPERLINK is not implemented. linkLocation=https://data.zhiyitech.cn/itemDetail/overview/base?itemId=831317935996, friendlyName=打开知衣</x:v>
      </x:c>
      <x:c r="N779" s="25" t="e">
        <x:f>HYPERLINK("https://img.alicdn.com/bao/uploaded/i4/2824260419/O1CN01h5RaL71Exx61XVPAr_!!2824260419.jpg","查看主图")</x:f>
        <x:v>HYPERLINK is not implemented. linkLocation=https://img.alicdn.com/bao/uploaded/i4/2824260419/O1CN01h5RaL71Exx61XVPAr_!!2824260419.jpg, friendlyName=查看主图</x:v>
      </x:c>
      <x:c r="O779" s="9" t="str">
        <x:v>标题及既有类目语义复核；SANDRO女装复古格纹A字半身裙；原类目及标题已能确认半身裙；展示使用已知大类，未知裙长下沉到结构字段，不强猜长短。</x:v>
      </x:c>
      <x:c r="P779" s="9" t="str">
        <x:v>普通男女装</x:v>
      </x:c>
      <x:c r="Q779" s="9" t="str">
        <x:v>W_SKIRTS_AVGPAID_1300_1400_ANNUAL2026.xlsx</x:v>
      </x:c>
      <x:c r="R779" s="9" t="str">
        <x:v>默认</x:v>
      </x:c>
      <x:c r="S779" s="9" t="n">
        <x:v>143</x:v>
      </x:c>
      <x:c r="T779" s="9" t="str">
        <x:v>bd4dae1e08e9eca7ddd0669235bf59107cdc418b9c2898fc16f36a7ab5748692</x:v>
      </x:c>
      <x:c r="U779" s="9" t="str">
        <x:v>W_SKIRTS_AVGPAID_1300_1400_ANNUAL2026</x:v>
      </x:c>
      <x:c r="V779" s="9" t="str">
        <x:v>W_SKIRTS_AVGPAID_1300_1400_ANNUAL2026.xlsx / 默认 / 第143行 / SHA256 bd4dae1e08e9eca7ddd0669235bf59107cdc418b9c2898fc16f36a7ab5748692</x:v>
      </x:c>
    </x:row>
    <x:row r="780" ht="58" customHeight="1">
      <x:c r="A780" s="23" t="str">
        <x:v>905920352695</x:v>
      </x:c>
      <x:c r="B780" s="22"/>
      <x:c r="C780" s="22"/>
      <x:c r="D780" s="22"/>
      <x:c r="E780" s="9" t="str">
        <x:v>裙长未明确</x:v>
      </x:c>
      <x:c r="F780" s="9" t="str">
        <x:v>裙装</x:v>
      </x:c>
      <x:c r="G780" s="9" t="str">
        <x:v>半身裙</x:v>
      </x:c>
      <x:c r="H780" s="9" t="str">
        <x:v>女</x:v>
      </x:c>
      <x:c r="I780" s="9" t="str">
        <x:v>SANDRO女装法式水波纹仿钻半身裙</x:v>
      </x:c>
      <x:c r="J780" s="9" t="str">
        <x:v>SANDRO</x:v>
      </x:c>
      <x:c r="K780" s="24" t="n">
        <x:v>1599.66</x:v>
      </x:c>
      <x:c r="L780" s="25" t="e">
        <x:f>HYPERLINK("https://item.taobao.com/item.htm?id=905920352695","打开商品")</x:f>
        <x:v>HYPERLINK is not implemented. linkLocation=https://item.taobao.com/item.htm?id=905920352695, friendlyName=打开商品</x:v>
      </x:c>
      <x:c r="M780" s="25" t="e">
        <x:f>HYPERLINK("https://data.zhiyitech.cn/itemDetail/overview/base?itemId=905920352695","打开知衣")</x:f>
        <x:v>HYPERLINK is not implemented. linkLocation=https://data.zhiyitech.cn/itemDetail/overview/base?itemId=905920352695, friendlyName=打开知衣</x:v>
      </x:c>
      <x:c r="N780" s="25" t="e">
        <x:f>HYPERLINK("https://img.alicdn.com/bao/uploaded/i3/2824260419/O1CN01iXA5DXlfwmF1chua_!!2824260419.jpg","查看主图")</x:f>
        <x:v>HYPERLINK is not implemented. linkLocation=https://img.alicdn.com/bao/uploaded/i3/2824260419/O1CN01iXA5DXlfwmF1chua_!!2824260419.jpg, friendlyName=查看主图</x:v>
      </x:c>
      <x:c r="O780" s="9" t="str">
        <x:v>标题及既有类目语义复核；SANDRO女装法式水波纹仿钻半身裙；原类目及标题已能确认半身裙；展示使用已知大类，未知裙长下沉到结构字段，不强猜长短。</x:v>
      </x:c>
      <x:c r="P780" s="9" t="str">
        <x:v>普通男女装</x:v>
      </x:c>
      <x:c r="Q780" s="9" t="str">
        <x:v>W_SKIRTS_AVGPAID_1500_1600_ANNUAL2026.xlsx</x:v>
      </x:c>
      <x:c r="R780" s="9" t="str">
        <x:v>默认</x:v>
      </x:c>
      <x:c r="S780" s="9" t="n">
        <x:v>309</x:v>
      </x:c>
      <x:c r="T780" s="9" t="str">
        <x:v>deede8b56943df4f914be45dba170f12e69064023d6ef0e88dbde1764f6ba23e</x:v>
      </x:c>
      <x:c r="U780" s="9" t="str">
        <x:v>W_SKIRTS_AVGPAID_1500_1600_ANNUAL2026</x:v>
      </x:c>
      <x:c r="V780" s="9" t="str">
        <x:v>W_SKIRTS_AVGPAID_1500_1600_ANNUAL2026.xlsx / 默认 / 第309行 / SHA256 deede8b56943df4f914be45dba170f12e69064023d6ef0e88dbde1764f6ba23e</x:v>
      </x:c>
    </x:row>
    <x:row r="781" ht="58" customHeight="1">
      <x:c r="A781" s="23" t="str">
        <x:v>911728598349</x:v>
      </x:c>
      <x:c r="B781" s="22"/>
      <x:c r="C781" s="22"/>
      <x:c r="D781" s="22"/>
      <x:c r="E781" s="9" t="str">
        <x:v>裙长未明确</x:v>
      </x:c>
      <x:c r="F781" s="9" t="str">
        <x:v>裙装</x:v>
      </x:c>
      <x:c r="G781" s="9" t="str">
        <x:v>半身裙</x:v>
      </x:c>
      <x:c r="H781" s="9" t="str">
        <x:v>女</x:v>
      </x:c>
      <x:c r="I781" s="9" t="str">
        <x:v>SANDRO夏季女装法式时尚气质棉质白色仿珠饰镂空花朵A字半身裙</x:v>
      </x:c>
      <x:c r="J781" s="9" t="str">
        <x:v>SANDRO</x:v>
      </x:c>
      <x:c r="K781" s="24" t="n">
        <x:v>1507.87</x:v>
      </x:c>
      <x:c r="L781" s="25" t="e">
        <x:f>HYPERLINK("https://item.taobao.com/item.htm?id=911728598349","打开商品")</x:f>
        <x:v>HYPERLINK is not implemented. linkLocation=https://item.taobao.com/item.htm?id=911728598349, friendlyName=打开商品</x:v>
      </x:c>
      <x:c r="M781" s="25" t="e">
        <x:f>HYPERLINK("https://data.zhiyitech.cn/itemDetail/overview/base?itemId=911728598349","打开知衣")</x:f>
        <x:v>HYPERLINK is not implemented. linkLocation=https://data.zhiyitech.cn/itemDetail/overview/base?itemId=911728598349, friendlyName=打开知衣</x:v>
      </x:c>
      <x:c r="N781" s="25" t="e">
        <x:f>HYPERLINK("https://img.alicdn.com/bao/uploaded/i1/2824260419/O1CN01FWr8dnoKKCL1chua_!!4611686018427382595-0-item_pic.jpg","查看主图")</x:f>
        <x:v>HYPERLINK is not implemented. linkLocation=https://img.alicdn.com/bao/uploaded/i1/2824260419/O1CN01FWr8dnoKKCL1chua_!!4611686018427382595-0-item_pic.jpg, friendlyName=查看主图</x:v>
      </x:c>
      <x:c r="O781" s="9" t="str">
        <x:v>标题及既有类目语义复核；SANDRO夏季女装法式时尚气质棉质白色仿珠饰镂空花朵A字半身裙；原类目及标题已能确认半身裙；展示使用已知大类，未知裙长下沉到结构字段，不强猜长短。</x:v>
      </x:c>
      <x:c r="P781" s="9" t="str">
        <x:v>普通男女装</x:v>
      </x:c>
      <x:c r="Q781" s="9" t="str">
        <x:v>W_SKIRTS_AVGPAID_1500_1600_ANNUAL2026.xlsx</x:v>
      </x:c>
      <x:c r="R781" s="9" t="str">
        <x:v>默认</x:v>
      </x:c>
      <x:c r="S781" s="9" t="n">
        <x:v>81</x:v>
      </x:c>
      <x:c r="T781" s="9" t="str">
        <x:v>deede8b56943df4f914be45dba170f12e69064023d6ef0e88dbde1764f6ba23e</x:v>
      </x:c>
      <x:c r="U781" s="9" t="str">
        <x:v>W_SKIRTS_AVGPAID_1500_1600_ANNUAL2026</x:v>
      </x:c>
      <x:c r="V781" s="9" t="str">
        <x:v>W_SKIRTS_AVGPAID_1500_1600_ANNUAL2026.xlsx / 默认 / 第81行 / SHA256 deede8b56943df4f914be45dba170f12e69064023d6ef0e88dbde1764f6ba23e</x:v>
      </x:c>
    </x:row>
    <x:row r="782" ht="58" customHeight="1">
      <x:c r="A782" s="23" t="str">
        <x:v>923325033489</x:v>
      </x:c>
      <x:c r="B782" s="22"/>
      <x:c r="C782" s="22"/>
      <x:c r="D782" s="22"/>
      <x:c r="E782" s="9" t="str">
        <x:v>裙长未明确</x:v>
      </x:c>
      <x:c r="F782" s="9" t="str">
        <x:v>裙装</x:v>
      </x:c>
      <x:c r="G782" s="9" t="str">
        <x:v>半身裙</x:v>
      </x:c>
      <x:c r="H782" s="9" t="str">
        <x:v>女</x:v>
      </x:c>
      <x:c r="I782" s="9" t="str">
        <x:v>线上专享SANDRO女装法式时尚简约复古棉质荷叶边高腰牛仔半身裙</x:v>
      </x:c>
      <x:c r="J782" s="9" t="str">
        <x:v>SANDRO</x:v>
      </x:c>
      <x:c r="K782" s="24" t="n">
        <x:v>1328.9</x:v>
      </x:c>
      <x:c r="L782" s="25" t="e">
        <x:f>HYPERLINK("https://item.taobao.com/item.htm?id=923325033489","打开商品")</x:f>
        <x:v>HYPERLINK is not implemented. linkLocation=https://item.taobao.com/item.htm?id=923325033489, friendlyName=打开商品</x:v>
      </x:c>
      <x:c r="M782" s="25" t="e">
        <x:f>HYPERLINK("https://data.zhiyitech.cn/itemDetail/overview/base?itemId=923325033489","打开知衣")</x:f>
        <x:v>HYPERLINK is not implemented. linkLocation=https://data.zhiyitech.cn/itemDetail/overview/base?itemId=923325033489, friendlyName=打开知衣</x:v>
      </x:c>
      <x:c r="N782" s="25" t="e">
        <x:f>HYPERLINK("https://img.alicdn.com/bao/uploaded/i2/2824260419/O1CN01SQLlJ5ze8yD2R3rs_!!4611686018427382595-0-item_pic.jpg","查看主图")</x:f>
        <x:v>HYPERLINK is not implemented. linkLocation=https://img.alicdn.com/bao/uploaded/i2/2824260419/O1CN01SQLlJ5ze8yD2R3rs_!!4611686018427382595-0-item_pic.jpg, friendlyName=查看主图</x:v>
      </x:c>
      <x:c r="O782" s="9" t="str">
        <x:v>标题及既有类目语义复核；线上专享SANDRO女装法式时尚简约复古棉质荷叶边高腰牛仔半身裙；原类目及标题已能确认半身裙；展示使用已知大类，未知裙长下沉到结构字段，不强猜长短。</x:v>
      </x:c>
      <x:c r="P782" s="9" t="str">
        <x:v>普通男女装</x:v>
      </x:c>
      <x:c r="Q782" s="9" t="str">
        <x:v>W_SKIRTS_AVGPAID_1300_1400_ANNUAL2026.xlsx</x:v>
      </x:c>
      <x:c r="R782" s="9" t="str">
        <x:v>默认</x:v>
      </x:c>
      <x:c r="S782" s="9" t="n">
        <x:v>271</x:v>
      </x:c>
      <x:c r="T782" s="9" t="str">
        <x:v>bd4dae1e08e9eca7ddd0669235bf59107cdc418b9c2898fc16f36a7ab5748692</x:v>
      </x:c>
      <x:c r="U782" s="9" t="str">
        <x:v>W_SKIRTS_AVGPAID_1300_1400_ANNUAL2026</x:v>
      </x:c>
      <x:c r="V782" s="9" t="str">
        <x:v>W_SKIRTS_AVGPAID_1300_1400_ANNUAL2026.xlsx / 默认 / 第271行 / SHA256 bd4dae1e08e9eca7ddd0669235bf59107cdc418b9c2898fc16f36a7ab5748692</x:v>
      </x:c>
    </x:row>
    <x:row r="783" ht="58" customHeight="1">
      <x:c r="A783" s="23" t="str">
        <x:v>981734916159</x:v>
      </x:c>
      <x:c r="B783" s="22"/>
      <x:c r="C783" s="22"/>
      <x:c r="D783" s="22"/>
      <x:c r="E783" s="9" t="str">
        <x:v>裙长未明确</x:v>
      </x:c>
      <x:c r="F783" s="9" t="str">
        <x:v>裙装</x:v>
      </x:c>
      <x:c r="G783" s="9" t="str">
        <x:v>半身裙</x:v>
      </x:c>
      <x:c r="H783" s="9" t="str">
        <x:v>女</x:v>
      </x:c>
      <x:c r="I783" s="9" t="str">
        <x:v>SANDRO女装法式摩登通勤杂色格纹拼接荷叶边裙摆高腰A字半身裙</x:v>
      </x:c>
      <x:c r="J783" s="9" t="str">
        <x:v>SANDRO</x:v>
      </x:c>
      <x:c r="K783" s="24" t="n">
        <x:v>1387.21</x:v>
      </x:c>
      <x:c r="L783" s="25" t="e">
        <x:f>HYPERLINK("https://item.taobao.com/item.htm?id=981734916159","打开商品")</x:f>
        <x:v>HYPERLINK is not implemented. linkLocation=https://item.taobao.com/item.htm?id=981734916159, friendlyName=打开商品</x:v>
      </x:c>
      <x:c r="M783" s="25" t="e">
        <x:f>HYPERLINK("https://data.zhiyitech.cn/itemDetail/overview/base?itemId=981734916159","打开知衣")</x:f>
        <x:v>HYPERLINK is not implemented. linkLocation=https://data.zhiyitech.cn/itemDetail/overview/base?itemId=981734916159, friendlyName=打开知衣</x:v>
      </x:c>
      <x:c r="N783" s="25" t="e">
        <x:f>HYPERLINK("https://img.alicdn.com/bao/uploaded/i2/2824260419/O1CN01vN4OH02ILdC1chua_!!4611686018427382595-0-item_pic.jpg","查看主图")</x:f>
        <x:v>HYPERLINK is not implemented. linkLocation=https://img.alicdn.com/bao/uploaded/i2/2824260419/O1CN01vN4OH02ILdC1chua_!!4611686018427382595-0-item_pic.jpg, friendlyName=查看主图</x:v>
      </x:c>
      <x:c r="O783" s="9" t="str">
        <x:v>标题及既有类目语义复核；SANDRO女装法式摩登通勤杂色格纹拼接荷叶边裙摆高腰A字半身裙；原类目及标题已能确认半身裙；展示使用已知大类，未知裙长下沉到结构字段，不强猜长短。</x:v>
      </x:c>
      <x:c r="P783" s="9" t="str">
        <x:v>普通男女装</x:v>
      </x:c>
      <x:c r="Q783" s="9" t="str">
        <x:v>W_SKIRTS_AVGPAID_1300_1400_ANNUAL2026.xlsx</x:v>
      </x:c>
      <x:c r="R783" s="9" t="str">
        <x:v>默认</x:v>
      </x:c>
      <x:c r="S783" s="9" t="n">
        <x:v>45</x:v>
      </x:c>
      <x:c r="T783" s="9" t="str">
        <x:v>bd4dae1e08e9eca7ddd0669235bf59107cdc418b9c2898fc16f36a7ab5748692</x:v>
      </x:c>
      <x:c r="U783" s="9" t="str">
        <x:v>W_SKIRTS_AVGPAID_1300_1400_ANNUAL2026</x:v>
      </x:c>
      <x:c r="V783" s="9" t="str">
        <x:v>W_SKIRTS_AVGPAID_1300_1400_ANNUAL2026.xlsx / 默认 / 第45行 / SHA256 bd4dae1e08e9eca7ddd0669235bf59107cdc418b9c2898fc16f36a7ab5748692</x:v>
      </x:c>
    </x:row>
    <x:row r="784" ht="58" customHeight="1">
      <x:c r="A784" s="23" t="str">
        <x:v>984851431935</x:v>
      </x:c>
      <x:c r="B784" s="22"/>
      <x:c r="C784" s="22"/>
      <x:c r="D784" s="22"/>
      <x:c r="E784" s="9" t="str">
        <x:v>裙长未明确</x:v>
      </x:c>
      <x:c r="F784" s="9" t="str">
        <x:v>裙装</x:v>
      </x:c>
      <x:c r="G784" s="9" t="str">
        <x:v>半身裙</x:v>
      </x:c>
      <x:c r="H784" s="9" t="str">
        <x:v>女</x:v>
      </x:c>
      <x:c r="I784" s="9" t="str">
        <x:v>黑色复古修饰鱼尾半身裙</x:v>
      </x:c>
      <x:c r="J784" s="9" t="str">
        <x:v>SANDRO</x:v>
      </x:c>
      <x:c r="K784" s="24" t="n">
        <x:v>1597.67</x:v>
      </x:c>
      <x:c r="L784" s="25" t="e">
        <x:f>HYPERLINK("https://item.taobao.com/item.htm?id=984851431935","打开商品")</x:f>
        <x:v>HYPERLINK is not implemented. linkLocation=https://item.taobao.com/item.htm?id=984851431935, friendlyName=打开商品</x:v>
      </x:c>
      <x:c r="M784" s="25" t="e">
        <x:f>HYPERLINK("https://data.zhiyitech.cn/itemDetail/overview/base?itemId=984851431935","打开知衣")</x:f>
        <x:v>HYPERLINK is not implemented. linkLocation=https://data.zhiyitech.cn/itemDetail/overview/base?itemId=984851431935, friendlyName=打开知衣</x:v>
      </x:c>
      <x:c r="N784" s="25" t="e">
        <x:f>HYPERLINK("https://img.alicdn.com/bao/uploaded/i4/2824260419/O1CN01CXFVDqBC9SJ1chua_!!4611686018427382595-0-item_pic.jpg","查看主图")</x:f>
        <x:v>HYPERLINK is not implemented. linkLocation=https://img.alicdn.com/bao/uploaded/i4/2824260419/O1CN01CXFVDqBC9SJ1chua_!!4611686018427382595-0-item_pic.jpg, friendlyName=查看主图</x:v>
      </x:c>
      <x:c r="O784" s="9" t="str">
        <x:v>标题及既有类目语义复核；黑色复古修饰鱼尾半身裙；原类目及标题已能确认半身裙；展示使用已知大类，未知裙长下沉到结构字段，不强猜长短。</x:v>
      </x:c>
      <x:c r="P784" s="9" t="str">
        <x:v>普通男女装</x:v>
      </x:c>
      <x:c r="Q784" s="9" t="str">
        <x:v>W_SKIRTS_AVGPAID_1500_1600_ANNUAL2026.xlsx</x:v>
      </x:c>
      <x:c r="R784" s="9" t="str">
        <x:v>默认</x:v>
      </x:c>
      <x:c r="S784" s="9" t="n">
        <x:v>133</x:v>
      </x:c>
      <x:c r="T784" s="9" t="str">
        <x:v>deede8b56943df4f914be45dba170f12e69064023d6ef0e88dbde1764f6ba23e</x:v>
      </x:c>
      <x:c r="U784" s="9" t="str">
        <x:v>W_SKIRTS_AVGPAID_1500_1600_ANNUAL2026</x:v>
      </x:c>
      <x:c r="V784" s="9" t="str">
        <x:v>W_SKIRTS_AVGPAID_1500_1600_ANNUAL2026.xlsx / 默认 / 第133行 / SHA256 deede8b56943df4f914be45dba170f12e69064023d6ef0e88dbde1764f6ba23e</x:v>
      </x:c>
    </x:row>
    <x:row r="785" ht="58" customHeight="1">
      <x:c r="A785" s="23" t="str">
        <x:v>985085230144</x:v>
      </x:c>
      <x:c r="B785" s="22"/>
      <x:c r="C785" s="22"/>
      <x:c r="D785" s="22"/>
      <x:c r="E785" s="9" t="str">
        <x:v>裙长未明确</x:v>
      </x:c>
      <x:c r="F785" s="9" t="str">
        <x:v>裙装</x:v>
      </x:c>
      <x:c r="G785" s="9" t="str">
        <x:v>半身裙</x:v>
      </x:c>
      <x:c r="H785" s="9" t="str">
        <x:v>女</x:v>
      </x:c>
      <x:c r="I785" s="9" t="str">
        <x:v>SANDRO黑色针织半身裙</x:v>
      </x:c>
      <x:c r="J785" s="9" t="str">
        <x:v>SANDRO</x:v>
      </x:c>
      <x:c r="K785" s="24" t="n">
        <x:v>1503.28</x:v>
      </x:c>
      <x:c r="L785" s="25" t="e">
        <x:f>HYPERLINK("https://item.taobao.com/item.htm?id=985085230144","打开商品")</x:f>
        <x:v>HYPERLINK is not implemented. linkLocation=https://item.taobao.com/item.htm?id=985085230144, friendlyName=打开商品</x:v>
      </x:c>
      <x:c r="M785" s="25" t="e">
        <x:f>HYPERLINK("https://data.zhiyitech.cn/itemDetail/overview/base?itemId=985085230144","打开知衣")</x:f>
        <x:v>HYPERLINK is not implemented. linkLocation=https://data.zhiyitech.cn/itemDetail/overview/base?itemId=985085230144, friendlyName=打开知衣</x:v>
      </x:c>
      <x:c r="N785" s="25" t="e">
        <x:f>HYPERLINK("https://img.alicdn.com/bao/uploaded/i4/2824260419/O1CN011RVyI0b1g6I1chua_!!4611686018427382595-0-item_pic.jpg","查看主图")</x:f>
        <x:v>HYPERLINK is not implemented. linkLocation=https://img.alicdn.com/bao/uploaded/i4/2824260419/O1CN011RVyI0b1g6I1chua_!!4611686018427382595-0-item_pic.jpg, friendlyName=查看主图</x:v>
      </x:c>
      <x:c r="O785" s="9" t="str">
        <x:v>标题及既有类目语义复核；SANDRO黑色针织半身裙；原类目及标题已能确认半身裙；展示使用已知大类，未知裙长下沉到结构字段，不强猜长短。</x:v>
      </x:c>
      <x:c r="P785" s="9" t="str">
        <x:v>普通男女装</x:v>
      </x:c>
      <x:c r="Q785" s="9" t="str">
        <x:v>W_SKIRTS_AVGPAID_1500_1600_ANNUAL2026.xlsx</x:v>
      </x:c>
      <x:c r="R785" s="9" t="str">
        <x:v>默认</x:v>
      </x:c>
      <x:c r="S785" s="9" t="n">
        <x:v>293</x:v>
      </x:c>
      <x:c r="T785" s="9" t="str">
        <x:v>deede8b56943df4f914be45dba170f12e69064023d6ef0e88dbde1764f6ba23e</x:v>
      </x:c>
      <x:c r="U785" s="9" t="str">
        <x:v>W_SKIRTS_AVGPAID_1500_1600_ANNUAL2026</x:v>
      </x:c>
      <x:c r="V785" s="9" t="str">
        <x:v>W_SKIRTS_AVGPAID_1500_1600_ANNUAL2026.xlsx / 默认 / 第293行 / SHA256 deede8b56943df4f914be45dba170f12e69064023d6ef0e88dbde1764f6ba23e</x:v>
      </x:c>
    </x:row>
    <x:row r="786" ht="58" customHeight="1">
      <x:c r="A786" s="23" t="str">
        <x:v>1051790556242</x:v>
      </x:c>
      <x:c r="B786" s="22"/>
      <x:c r="C786" s="22"/>
      <x:c r="D786" s="22"/>
      <x:c r="E786" s="9" t="str">
        <x:v>裙长未明确</x:v>
      </x:c>
      <x:c r="F786" s="9" t="str">
        <x:v>裙装</x:v>
      </x:c>
      <x:c r="G786" s="9" t="str">
        <x:v>半身裙</x:v>
      </x:c>
      <x:c r="H786" s="9" t="str">
        <x:v>女</x:v>
      </x:c>
      <x:c r="I786" s="9" t="str">
        <x:v>SARAVIVI 粼光花影 进口蕾丝透纱亮片高级感小众别致独特半身裙女</x:v>
      </x:c>
      <x:c r="J786" s="9" t="str">
        <x:v>SARAVIVI</x:v>
      </x:c>
      <x:c r="K786" s="24" t="n">
        <x:v>1709.22</x:v>
      </x:c>
      <x:c r="L786" s="25" t="e">
        <x:f>HYPERLINK("https://item.taobao.com/item.htm?id=1051790556242","打开商品")</x:f>
        <x:v>HYPERLINK is not implemented. linkLocation=https://item.taobao.com/item.htm?id=1051790556242, friendlyName=打开商品</x:v>
      </x:c>
      <x:c r="M786" s="25" t="e">
        <x:f>HYPERLINK("https://data.zhiyitech.cn/itemDetail/overview/base?itemId=1051790556242","打开知衣")</x:f>
        <x:v>HYPERLINK is not implemented. linkLocation=https://data.zhiyitech.cn/itemDetail/overview/base?itemId=1051790556242, friendlyName=打开知衣</x:v>
      </x:c>
      <x:c r="N786" s="25" t="e">
        <x:f>HYPERLINK("https://img.alicdn.com/bao/uploaded/i1/848470502/O1CN015FrRhI1FZxxrf7Gof_!!848470502.jpg","查看主图")</x:f>
        <x:v>HYPERLINK is not implemented. linkLocation=https://img.alicdn.com/bao/uploaded/i1/848470502/O1CN015FrRhI1FZxxrf7Gof_!!848470502.jpg, friendlyName=查看主图</x:v>
      </x:c>
      <x:c r="O786" s="9" t="str">
        <x:v>标题及既有类目语义复核；SARAVIVI 粼光花影 进口蕾丝透纱亮片高级感小众别致独特半身裙女；原类目及标题已能确认半身裙；展示使用已知大类，未知裙长下沉到结构字段，不强猜长短。</x:v>
      </x:c>
      <x:c r="P786" s="9" t="str">
        <x:v>普通男女装</x:v>
      </x:c>
      <x:c r="Q786" s="9" t="str">
        <x:v>W_SKIRTS_AVGPAID_1700_1800_ANNUAL2026.xlsx</x:v>
      </x:c>
      <x:c r="R786" s="9" t="str">
        <x:v>默认</x:v>
      </x:c>
      <x:c r="S786" s="9" t="n">
        <x:v>140</x:v>
      </x:c>
      <x:c r="T786" s="9" t="str">
        <x:v>c25ed77c53c7c5cfcf728778a0e9b297d8689503f62756a939cbd534ca9b587a</x:v>
      </x:c>
      <x:c r="U786" s="9" t="str">
        <x:v>W_SKIRTS_AVGPAID_1700_1800_ANNUAL2026</x:v>
      </x:c>
      <x:c r="V786" s="9" t="str">
        <x:v>W_SKIRTS_AVGPAID_1700_1800_ANNUAL2026.xlsx / 默认 / 第140行 / SHA256 c25ed77c53c7c5cfcf728778a0e9b297d8689503f62756a939cbd534ca9b587a</x:v>
      </x:c>
    </x:row>
    <x:row r="787" ht="58" customHeight="1">
      <x:c r="A787" s="23" t="str">
        <x:v>988205733163</x:v>
      </x:c>
      <x:c r="B787" s="22"/>
      <x:c r="C787" s="22"/>
      <x:c r="D787" s="22"/>
      <x:c r="E787" s="9" t="str">
        <x:v>裙长未明确</x:v>
      </x:c>
      <x:c r="F787" s="9" t="str">
        <x:v>裙装</x:v>
      </x:c>
      <x:c r="G787" s="9" t="str">
        <x:v>半身裙</x:v>
      </x:c>
      <x:c r="H787" s="9" t="str">
        <x:v>女</x:v>
      </x:c>
      <x:c r="I787" s="9" t="str">
        <x:v>柚间SARAVIVI 秋夕粉霞 进口金属丝轻奢华大牌高端小众真丝半身裙</x:v>
      </x:c>
      <x:c r="J787" s="9" t="str">
        <x:v>SARAVIVI</x:v>
      </x:c>
      <x:c r="K787" s="24" t="n">
        <x:v>1768.83</x:v>
      </x:c>
      <x:c r="L787" s="25" t="e">
        <x:f>HYPERLINK("https://item.taobao.com/item.htm?id=988205733163","打开商品")</x:f>
        <x:v>HYPERLINK is not implemented. linkLocation=https://item.taobao.com/item.htm?id=988205733163, friendlyName=打开商品</x:v>
      </x:c>
      <x:c r="M787" s="25" t="e">
        <x:f>HYPERLINK("https://data.zhiyitech.cn/itemDetail/overview/base?itemId=988205733163","打开知衣")</x:f>
        <x:v>HYPERLINK is not implemented. linkLocation=https://data.zhiyitech.cn/itemDetail/overview/base?itemId=988205733163, friendlyName=打开知衣</x:v>
      </x:c>
      <x:c r="N787" s="25" t="e">
        <x:f>HYPERLINK("https://img.alicdn.com/bao/uploaded/i3/848470502/O1CN015mL6Pf1FZxvJanWrJ_!!848470502.jpg","查看主图")</x:f>
        <x:v>HYPERLINK is not implemented. linkLocation=https://img.alicdn.com/bao/uploaded/i3/848470502/O1CN015mL6Pf1FZxvJanWrJ_!!848470502.jpg, friendlyName=查看主图</x:v>
      </x:c>
      <x:c r="O787" s="9" t="str">
        <x:v>标题及既有类目语义复核；柚间SARAVIVI 秋夕粉霞 进口金属丝轻奢华大牌高端小众真丝半身裙；原类目及标题已能确认半身裙；展示使用已知大类，未知裙长下沉到结构字段，不强猜长短。</x:v>
      </x:c>
      <x:c r="P787" s="9" t="str">
        <x:v>普通男女装</x:v>
      </x:c>
      <x:c r="Q787" s="9" t="str">
        <x:v>W_SKIRTS_AVGPAID_1700_1800_ANNUAL2026.xlsx</x:v>
      </x:c>
      <x:c r="R787" s="9" t="str">
        <x:v>默认</x:v>
      </x:c>
      <x:c r="S787" s="9" t="n">
        <x:v>350</x:v>
      </x:c>
      <x:c r="T787" s="9" t="str">
        <x:v>c25ed77c53c7c5cfcf728778a0e9b297d8689503f62756a939cbd534ca9b587a</x:v>
      </x:c>
      <x:c r="U787" s="9" t="str">
        <x:v>W_SKIRTS_AVGPAID_1700_1800_ANNUAL2026</x:v>
      </x:c>
      <x:c r="V787" s="9" t="str">
        <x:v>W_SKIRTS_AVGPAID_1700_1800_ANNUAL2026.xlsx / 默认 / 第350行 / SHA256 c25ed77c53c7c5cfcf728778a0e9b297d8689503f62756a939cbd534ca9b587a</x:v>
      </x:c>
    </x:row>
    <x:row r="788" ht="58" customHeight="1">
      <x:c r="A788" s="23" t="str">
        <x:v>995160754698</x:v>
      </x:c>
      <x:c r="B788" s="22"/>
      <x:c r="C788" s="22"/>
      <x:c r="D788" s="22"/>
      <x:c r="E788" s="9" t="str">
        <x:v>裙长未明确</x:v>
      </x:c>
      <x:c r="F788" s="9" t="str">
        <x:v>裙装</x:v>
      </x:c>
      <x:c r="G788" s="9" t="str">
        <x:v>半身裙</x:v>
      </x:c>
      <x:c r="H788" s="9" t="str">
        <x:v>女</x:v>
      </x:c>
      <x:c r="I788" s="9" t="str">
        <x:v>【刘亦菲同款】黑色蝴蝶结 蓬蓬裙 蕾丝蛋糕裙 Selkie collection</x:v>
      </x:c>
      <x:c r="J788" s="9" t="str">
        <x:v>SELKIE COLLECTION</x:v>
      </x:c>
      <x:c r="K788" s="24" t="n">
        <x:v>1592.54</x:v>
      </x:c>
      <x:c r="L788" s="25" t="e">
        <x:f>HYPERLINK("https://item.taobao.com/item.htm?id=995160754698","打开商品")</x:f>
        <x:v>HYPERLINK is not implemented. linkLocation=https://item.taobao.com/item.htm?id=995160754698, friendlyName=打开商品</x:v>
      </x:c>
      <x:c r="M788" s="25" t="e">
        <x:f>HYPERLINK("https://data.zhiyitech.cn/itemDetail/overview/base?itemId=995160754698","打开知衣")</x:f>
        <x:v>HYPERLINK is not implemented. linkLocation=https://data.zhiyitech.cn/itemDetail/overview/base?itemId=995160754698, friendlyName=打开知衣</x:v>
      </x:c>
      <x:c r="N788" s="25" t="e">
        <x:f>HYPERLINK("https://img.alicdn.com/bao/uploaded/i4/2212803333799/O1CN01nG8Txs1dvzlRS00Fr_!!4611686018427383463-0-item_pic.jpg","查看主图")</x:f>
        <x:v>HYPERLINK is not implemented. linkLocation=https://img.alicdn.com/bao/uploaded/i4/2212803333799/O1CN01nG8Txs1dvzlRS00Fr_!!4611686018427383463-0-item_pic.jpg, friendlyName=查看主图</x:v>
      </x:c>
      <x:c r="O788" s="9" t="str">
        <x:v>标题及既有类目语义复核；【刘亦菲同款】黑色蝴蝶结 蓬蓬裙 蕾丝蛋糕裙 Selkie collection；原类目及标题已能确认半身裙；展示使用已知大类，未知裙长下沉到结构字段，不强猜长短。</x:v>
      </x:c>
      <x:c r="P788" s="9" t="str">
        <x:v>普通男女装</x:v>
      </x:c>
      <x:c r="Q788" s="9" t="str">
        <x:v>W_SKIRTS_AVGPAID_1500_1600_ANNUAL2026.xlsx</x:v>
      </x:c>
      <x:c r="R788" s="9" t="str">
        <x:v>默认</x:v>
      </x:c>
      <x:c r="S788" s="9" t="n">
        <x:v>166</x:v>
      </x:c>
      <x:c r="T788" s="9" t="str">
        <x:v>deede8b56943df4f914be45dba170f12e69064023d6ef0e88dbde1764f6ba23e</x:v>
      </x:c>
      <x:c r="U788" s="9" t="str">
        <x:v>W_SKIRTS_AVGPAID_1500_1600_ANNUAL2026</x:v>
      </x:c>
      <x:c r="V788" s="9" t="str">
        <x:v>W_SKIRTS_AVGPAID_1500_1600_ANNUAL2026.xlsx / 默认 / 第166行 / SHA256 deede8b56943df4f914be45dba170f12e69064023d6ef0e88dbde1764f6ba23e</x:v>
      </x:c>
    </x:row>
    <x:row r="789" ht="58" customHeight="1">
      <x:c r="A789" s="23" t="str">
        <x:v>1009923645209</x:v>
      </x:c>
      <x:c r="B789" s="22"/>
      <x:c r="C789" s="22"/>
      <x:c r="D789" s="22"/>
      <x:c r="E789" s="9" t="str">
        <x:v>裙长未明确</x:v>
      </x:c>
      <x:c r="F789" s="9" t="str">
        <x:v>裙装</x:v>
      </x:c>
      <x:c r="G789" s="9" t="str">
        <x:v>半身裙</x:v>
      </x:c>
      <x:c r="H789" s="9" t="str">
        <x:v>女</x:v>
      </x:c>
      <x:c r="I789" s="9" t="str">
        <x:v>SHANG1 BY SHANGYI法式蕾丝拼接半裙春季新款重磅三醋酸直筒裙女</x:v>
      </x:c>
      <x:c r="J789" s="9" t="str">
        <x:v>SHANG1 BY SHANGYI</x:v>
      </x:c>
      <x:c r="K789" s="24" t="n">
        <x:v>1537.18</x:v>
      </x:c>
      <x:c r="L789" s="25" t="e">
        <x:f>HYPERLINK("https://item.taobao.com/item.htm?id=1009923645209","打开商品")</x:f>
        <x:v>HYPERLINK is not implemented. linkLocation=https://item.taobao.com/item.htm?id=1009923645209, friendlyName=打开商品</x:v>
      </x:c>
      <x:c r="M789" s="25" t="e">
        <x:f>HYPERLINK("https://data.zhiyitech.cn/itemDetail/overview/base?itemId=1009923645209","打开知衣")</x:f>
        <x:v>HYPERLINK is not implemented. linkLocation=https://data.zhiyitech.cn/itemDetail/overview/base?itemId=1009923645209, friendlyName=打开知衣</x:v>
      </x:c>
      <x:c r="N789" s="25" t="e">
        <x:f>HYPERLINK("https://img.alicdn.com/bao/uploaded/i3/2214081825235/O1CN01POD9Zr1oXgWJOMiXB_!!4611686018427382227-0-item_pic.jpg","查看主图")</x:f>
        <x:v>HYPERLINK is not implemented. linkLocation=https://img.alicdn.com/bao/uploaded/i3/2214081825235/O1CN01POD9Zr1oXgWJOMiXB_!!4611686018427382227-0-item_pic.jpg, friendlyName=查看主图</x:v>
      </x:c>
      <x:c r="O789" s="9" t="str">
        <x:v>标题及既有类目语义复核；SHANG1 BY SHANGYI法式蕾丝拼接半裙春季新款重磅三醋酸直筒裙女；原类目及标题已能确认半身裙；展示使用已知大类，未知裙长下沉到结构字段，不强猜长短。</x:v>
      </x:c>
      <x:c r="P789" s="9" t="str">
        <x:v>普通男女装</x:v>
      </x:c>
      <x:c r="Q789" s="9" t="str">
        <x:v>W_SKIRTS_AVGPAID_1500_1600_ANNUAL2026.xlsx</x:v>
      </x:c>
      <x:c r="R789" s="9" t="str">
        <x:v>默认</x:v>
      </x:c>
      <x:c r="S789" s="9" t="n">
        <x:v>118</x:v>
      </x:c>
      <x:c r="T789" s="9" t="str">
        <x:v>deede8b56943df4f914be45dba170f12e69064023d6ef0e88dbde1764f6ba23e</x:v>
      </x:c>
      <x:c r="U789" s="9" t="str">
        <x:v>W_SKIRTS_AVGPAID_1500_1600_ANNUAL2026</x:v>
      </x:c>
      <x:c r="V789" s="9" t="str">
        <x:v>W_SKIRTS_AVGPAID_1500_1600_ANNUAL2026.xlsx / 默认 / 第118行 / SHA256 deede8b56943df4f914be45dba170f12e69064023d6ef0e88dbde1764f6ba23e</x:v>
      </x:c>
    </x:row>
    <x:row r="790" ht="58" customHeight="1">
      <x:c r="A790" s="23" t="str">
        <x:v>1013919949431</x:v>
      </x:c>
      <x:c r="B790" s="22"/>
      <x:c r="C790" s="22"/>
      <x:c r="D790" s="22"/>
      <x:c r="E790" s="9" t="str">
        <x:v>裙长未明确</x:v>
      </x:c>
      <x:c r="F790" s="9" t="str">
        <x:v>裙装</x:v>
      </x:c>
      <x:c r="G790" s="9" t="str">
        <x:v>半身裙</x:v>
      </x:c>
      <x:c r="H790" s="9" t="str">
        <x:v>女</x:v>
      </x:c>
      <x:c r="I790" s="9" t="str">
        <x:v>SHANG1 BY SHANGYI抽绳量感半身裙女春季新款梨形超显瘦双层伞裙</x:v>
      </x:c>
      <x:c r="J790" s="9" t="str">
        <x:v>SHANG1 BY SHANGYI</x:v>
      </x:c>
      <x:c r="K790" s="24" t="n">
        <x:v>1320.56</x:v>
      </x:c>
      <x:c r="L790" s="25" t="e">
        <x:f>HYPERLINK("https://item.taobao.com/item.htm?id=1013919949431","打开商品")</x:f>
        <x:v>HYPERLINK is not implemented. linkLocation=https://item.taobao.com/item.htm?id=1013919949431, friendlyName=打开商品</x:v>
      </x:c>
      <x:c r="M790" s="25" t="e">
        <x:f>HYPERLINK("https://data.zhiyitech.cn/itemDetail/overview/base?itemId=1013919949431","打开知衣")</x:f>
        <x:v>HYPERLINK is not implemented. linkLocation=https://data.zhiyitech.cn/itemDetail/overview/base?itemId=1013919949431, friendlyName=打开知衣</x:v>
      </x:c>
      <x:c r="N790" s="25" t="e">
        <x:f>HYPERLINK("https://img.alicdn.com/bao/uploaded/i1/2214081825235/O1CN01DOArNl1oXgWYxPq7i_!!4611686018427382227-0-item_pic.jpg","查看主图")</x:f>
        <x:v>HYPERLINK is not implemented. linkLocation=https://img.alicdn.com/bao/uploaded/i1/2214081825235/O1CN01DOArNl1oXgWYxPq7i_!!4611686018427382227-0-item_pic.jpg, friendlyName=查看主图</x:v>
      </x:c>
      <x:c r="O790" s="9" t="str">
        <x:v>标题及既有类目语义复核；SHANG1 BY SHANGYI抽绳量感半身裙女春季新款梨形超显瘦双层伞裙；原类目及标题已能确认半身裙；展示使用已知大类，未知裙长下沉到结构字段，不强猜长短。</x:v>
      </x:c>
      <x:c r="P790" s="9" t="str">
        <x:v>普通男女装</x:v>
      </x:c>
      <x:c r="Q790" s="9" t="str">
        <x:v>W_SKIRTS_AVGPAID_1300_1400_ANNUAL2026.xlsx</x:v>
      </x:c>
      <x:c r="R790" s="9" t="str">
        <x:v>默认</x:v>
      </x:c>
      <x:c r="S790" s="9" t="n">
        <x:v>366</x:v>
      </x:c>
      <x:c r="T790" s="9" t="str">
        <x:v>bd4dae1e08e9eca7ddd0669235bf59107cdc418b9c2898fc16f36a7ab5748692</x:v>
      </x:c>
      <x:c r="U790" s="9" t="str">
        <x:v>W_SKIRTS_AVGPAID_1300_1400_ANNUAL2026</x:v>
      </x:c>
      <x:c r="V790" s="9" t="str">
        <x:v>W_SKIRTS_AVGPAID_1300_1400_ANNUAL2026.xlsx / 默认 / 第366行 / SHA256 bd4dae1e08e9eca7ddd0669235bf59107cdc418b9c2898fc16f36a7ab5748692</x:v>
      </x:c>
    </x:row>
    <x:row r="791" ht="58" customHeight="1">
      <x:c r="A791" s="23" t="str">
        <x:v>1023061340205</x:v>
      </x:c>
      <x:c r="B791" s="22"/>
      <x:c r="C791" s="22"/>
      <x:c r="D791" s="22"/>
      <x:c r="E791" s="9" t="str">
        <x:v>裙长未明确</x:v>
      </x:c>
      <x:c r="F791" s="9" t="str">
        <x:v>裙装</x:v>
      </x:c>
      <x:c r="G791" s="9" t="str">
        <x:v>半身裙</x:v>
      </x:c>
      <x:c r="H791" s="9" t="str">
        <x:v>女</x:v>
      </x:c>
      <x:c r="I791" s="9" t="str">
        <x:v>SHANG1 BY SHANGYI百褶裙S26AS04</x:v>
      </x:c>
      <x:c r="J791" s="9" t="str">
        <x:v>SHANG1 BY SHANGYI</x:v>
      </x:c>
      <x:c r="K791" s="24" t="n">
        <x:v>1573.69</x:v>
      </x:c>
      <x:c r="L791" s="25" t="e">
        <x:f>HYPERLINK("https://item.taobao.com/item.htm?id=1023061340205","打开商品")</x:f>
        <x:v>HYPERLINK is not implemented. linkLocation=https://item.taobao.com/item.htm?id=1023061340205, friendlyName=打开商品</x:v>
      </x:c>
      <x:c r="M791" s="25" t="e">
        <x:f>HYPERLINK("https://data.zhiyitech.cn/itemDetail/overview/base?itemId=1023061340205","打开知衣")</x:f>
        <x:v>HYPERLINK is not implemented. linkLocation=https://data.zhiyitech.cn/itemDetail/overview/base?itemId=1023061340205, friendlyName=打开知衣</x:v>
      </x:c>
      <x:c r="N791" s="25" t="e">
        <x:f>HYPERLINK("https://img.alicdn.com/bao/uploaded/i1/2214081825235/O1CN01Wem0SK1oXgWkX0nI7_!!4611686018427382227-0-item_pic.jpg","查看主图")</x:f>
        <x:v>HYPERLINK is not implemented. linkLocation=https://img.alicdn.com/bao/uploaded/i1/2214081825235/O1CN01Wem0SK1oXgWkX0nI7_!!4611686018427382227-0-item_pic.jpg, friendlyName=查看主图</x:v>
      </x:c>
      <x:c r="O791" s="9" t="str">
        <x:v>标题及既有类目语义复核；SHANG1 BY SHANGYI百褶裙S26AS04；原类目及标题已能确认半身裙；展示使用已知大类，未知裙长下沉到结构字段，不强猜长短。</x:v>
      </x:c>
      <x:c r="P791" s="9" t="str">
        <x:v>普通男女装</x:v>
      </x:c>
      <x:c r="Q791" s="9" t="str">
        <x:v>W_SKIRTS_AVGPAID_1500_1600_ANNUAL2026.xlsx</x:v>
      </x:c>
      <x:c r="R791" s="9" t="str">
        <x:v>默认</x:v>
      </x:c>
      <x:c r="S791" s="9" t="n">
        <x:v>346</x:v>
      </x:c>
      <x:c r="T791" s="9" t="str">
        <x:v>deede8b56943df4f914be45dba170f12e69064023d6ef0e88dbde1764f6ba23e</x:v>
      </x:c>
      <x:c r="U791" s="9" t="str">
        <x:v>W_SKIRTS_AVGPAID_1500_1600_ANNUAL2026</x:v>
      </x:c>
      <x:c r="V791" s="9" t="str">
        <x:v>W_SKIRTS_AVGPAID_1500_1600_ANNUAL2026.xlsx / 默认 / 第346行 / SHA256 deede8b56943df4f914be45dba170f12e69064023d6ef0e88dbde1764f6ba23e</x:v>
      </x:c>
    </x:row>
    <x:row r="792" ht="58" customHeight="1">
      <x:c r="A792" s="23" t="str">
        <x:v>1072235584382</x:v>
      </x:c>
      <x:c r="B792" s="22"/>
      <x:c r="C792" s="22"/>
      <x:c r="D792" s="22"/>
      <x:c r="E792" s="9" t="str">
        <x:v>裙长未明确</x:v>
      </x:c>
      <x:c r="F792" s="9" t="str">
        <x:v>裙装</x:v>
      </x:c>
      <x:c r="G792" s="9" t="str">
        <x:v>半身裙</x:v>
      </x:c>
      <x:c r="H792" s="9" t="str">
        <x:v>女</x:v>
      </x:c>
      <x:c r="I792" s="9" t="str">
        <x:v>SHANG1 BY SHANGYI法式氛围感花边针织半裙遮肉早秋约会百搭半裙</x:v>
      </x:c>
      <x:c r="J792" s="9" t="str">
        <x:v>SHANG1 BY SHANGYI</x:v>
      </x:c>
      <x:c r="K792" s="24" t="n">
        <x:v>1546.43</x:v>
      </x:c>
      <x:c r="L792" s="25" t="e">
        <x:f>HYPERLINK("https://item.taobao.com/item.htm?id=1072235584382","打开商品")</x:f>
        <x:v>HYPERLINK is not implemented. linkLocation=https://item.taobao.com/item.htm?id=1072235584382, friendlyName=打开商品</x:v>
      </x:c>
      <x:c r="M792" s="25" t="e">
        <x:f>HYPERLINK("https://data.zhiyitech.cn/itemDetail/overview/base?itemId=1072235584382","打开知衣")</x:f>
        <x:v>HYPERLINK is not implemented. linkLocation=https://data.zhiyitech.cn/itemDetail/overview/base?itemId=1072235584382, friendlyName=打开知衣</x:v>
      </x:c>
      <x:c r="N792" s="25" t="e">
        <x:f>HYPERLINK("https://img.alicdn.com/bao/uploaded/i2/2214081825235/O1CN01PgC0Eu1oXgYq7VfeO_!!4611686018427382227-0-item_pic.jpg","查看主图")</x:f>
        <x:v>HYPERLINK is not implemented. linkLocation=https://img.alicdn.com/bao/uploaded/i2/2214081825235/O1CN01PgC0Eu1oXgYq7VfeO_!!4611686018427382227-0-item_pic.jpg, friendlyName=查看主图</x:v>
      </x:c>
      <x:c r="O792" s="9" t="str">
        <x:v>标题及既有类目语义复核；SHANG1 BY SHANGYI法式氛围感花边针织半裙遮肉早秋约会百搭半裙；原类目及标题已能确认半身裙；展示使用已知大类，未知裙长下沉到结构字段，不强猜长短。</x:v>
      </x:c>
      <x:c r="P792" s="9" t="str">
        <x:v>普通男女装</x:v>
      </x:c>
      <x:c r="Q792" s="9" t="str">
        <x:v>W_SKIRTS_AVGPAID_1500_1600_ANNUAL2026.xlsx</x:v>
      </x:c>
      <x:c r="R792" s="9" t="str">
        <x:v>默认</x:v>
      </x:c>
      <x:c r="S792" s="9" t="n">
        <x:v>416</x:v>
      </x:c>
      <x:c r="T792" s="9" t="str">
        <x:v>deede8b56943df4f914be45dba170f12e69064023d6ef0e88dbde1764f6ba23e</x:v>
      </x:c>
      <x:c r="U792" s="9" t="str">
        <x:v>W_SKIRTS_AVGPAID_1500_1600_ANNUAL2026</x:v>
      </x:c>
      <x:c r="V792" s="9" t="str">
        <x:v>W_SKIRTS_AVGPAID_1500_1600_ANNUAL2026.xlsx / 默认 / 第416行 / SHA256 deede8b56943df4f914be45dba170f12e69064023d6ef0e88dbde1764f6ba23e</x:v>
      </x:c>
    </x:row>
    <x:row r="793" ht="58" customHeight="1">
      <x:c r="A793" s="23" t="str">
        <x:v>894050184665</x:v>
      </x:c>
      <x:c r="B793" s="22"/>
      <x:c r="C793" s="22"/>
      <x:c r="D793" s="22"/>
      <x:c r="E793" s="9" t="str">
        <x:v>裙长未明确</x:v>
      </x:c>
      <x:c r="F793" s="9" t="str">
        <x:v>裙装</x:v>
      </x:c>
      <x:c r="G793" s="9" t="str">
        <x:v>半身裙</x:v>
      </x:c>
      <x:c r="H793" s="9" t="str">
        <x:v>女</x:v>
      </x:c>
      <x:c r="I793" s="9" t="str">
        <x:v>SHANG1 BY SHANGYI日本进口醋酸半身裙女夏季性感蕾丝开衩包臀裙</x:v>
      </x:c>
      <x:c r="J793" s="9" t="str">
        <x:v>SHANG1 BY SHANGYI</x:v>
      </x:c>
      <x:c r="K793" s="24" t="n">
        <x:v>1533.27</x:v>
      </x:c>
      <x:c r="L793" s="25" t="e">
        <x:f>HYPERLINK("https://item.taobao.com/item.htm?id=894050184665","打开商品")</x:f>
        <x:v>HYPERLINK is not implemented. linkLocation=https://item.taobao.com/item.htm?id=894050184665, friendlyName=打开商品</x:v>
      </x:c>
      <x:c r="M793" s="25" t="e">
        <x:f>HYPERLINK("https://data.zhiyitech.cn/itemDetail/overview/base?itemId=894050184665","打开知衣")</x:f>
        <x:v>HYPERLINK is not implemented. linkLocation=https://data.zhiyitech.cn/itemDetail/overview/base?itemId=894050184665, friendlyName=打开知衣</x:v>
      </x:c>
      <x:c r="N793" s="25" t="e">
        <x:f>HYPERLINK("https://img.alicdn.com/bao/uploaded/i2/2214081825235/O1CN018KNPMw1oXgSYmA91N_!!4611686018427382227-0-item_pic.jpg","查看主图")</x:f>
        <x:v>HYPERLINK is not implemented. linkLocation=https://img.alicdn.com/bao/uploaded/i2/2214081825235/O1CN018KNPMw1oXgSYmA91N_!!4611686018427382227-0-item_pic.jpg, friendlyName=查看主图</x:v>
      </x:c>
      <x:c r="O793" s="9" t="str">
        <x:v>标题及既有类目语义复核；SHANG1 BY SHANGYI日本进口醋酸半身裙女夏季性感蕾丝开衩包臀裙；原类目及标题已能确认半身裙；展示使用已知大类，未知裙长下沉到结构字段，不强猜长短。</x:v>
      </x:c>
      <x:c r="P793" s="9" t="str">
        <x:v>普通男女装</x:v>
      </x:c>
      <x:c r="Q793" s="9" t="str">
        <x:v>W_SKIRTS_AVGPAID_1500_1600_ANNUAL2026.xlsx</x:v>
      </x:c>
      <x:c r="R793" s="9" t="str">
        <x:v>默认</x:v>
      </x:c>
      <x:c r="S793" s="9" t="n">
        <x:v>361</x:v>
      </x:c>
      <x:c r="T793" s="9" t="str">
        <x:v>deede8b56943df4f914be45dba170f12e69064023d6ef0e88dbde1764f6ba23e</x:v>
      </x:c>
      <x:c r="U793" s="9" t="str">
        <x:v>W_SKIRTS_AVGPAID_1500_1600_ANNUAL2026</x:v>
      </x:c>
      <x:c r="V793" s="9" t="str">
        <x:v>W_SKIRTS_AVGPAID_1500_1600_ANNUAL2026.xlsx / 默认 / 第361行 / SHA256 deede8b56943df4f914be45dba170f12e69064023d6ef0e88dbde1764f6ba23e</x:v>
      </x:c>
    </x:row>
    <x:row r="794" ht="58" customHeight="1">
      <x:c r="A794" s="23" t="str">
        <x:v>913016416493</x:v>
      </x:c>
      <x:c r="B794" s="22"/>
      <x:c r="C794" s="22"/>
      <x:c r="D794" s="22"/>
      <x:c r="E794" s="9" t="str">
        <x:v>裙长未明确</x:v>
      </x:c>
      <x:c r="F794" s="9" t="str">
        <x:v>裙装</x:v>
      </x:c>
      <x:c r="G794" s="9" t="str">
        <x:v>半身裙</x:v>
      </x:c>
      <x:c r="H794" s="9" t="str">
        <x:v>女</x:v>
      </x:c>
      <x:c r="I794" s="9" t="str">
        <x:v>新款重工珠花半身裙包臀裙</x:v>
      </x:c>
      <x:c r="J794" s="9" t="str">
        <x:v>SHANG1 BY SHANGYI</x:v>
      </x:c>
      <x:c r="K794" s="24" t="n">
        <x:v>1361.75</x:v>
      </x:c>
      <x:c r="L794" s="25" t="e">
        <x:f>HYPERLINK("https://item.taobao.com/item.htm?id=913016416493","打开商品")</x:f>
        <x:v>HYPERLINK is not implemented. linkLocation=https://item.taobao.com/item.htm?id=913016416493, friendlyName=打开商品</x:v>
      </x:c>
      <x:c r="M794" s="25" t="e">
        <x:f>HYPERLINK("https://data.zhiyitech.cn/itemDetail/overview/base?itemId=913016416493","打开知衣")</x:f>
        <x:v>HYPERLINK is not implemented. linkLocation=https://data.zhiyitech.cn/itemDetail/overview/base?itemId=913016416493, friendlyName=打开知衣</x:v>
      </x:c>
      <x:c r="N794" s="25" t="e">
        <x:f>HYPERLINK("https://img.alicdn.com/bao/uploaded/i4/2214081825235/O1CN01LdfnHM1oXgSXohaJL_!!4611686018427382227-0-item_pic.jpg","查看主图")</x:f>
        <x:v>HYPERLINK is not implemented. linkLocation=https://img.alicdn.com/bao/uploaded/i4/2214081825235/O1CN01LdfnHM1oXgSXohaJL_!!4611686018427382227-0-item_pic.jpg, friendlyName=查看主图</x:v>
      </x:c>
      <x:c r="O794" s="9" t="str">
        <x:v>标题及既有类目语义复核；新款重工珠花半身裙包臀裙；原类目及标题已能确认半身裙；展示使用已知大类，未知裙长下沉到结构字段，不强猜长短。</x:v>
      </x:c>
      <x:c r="P794" s="9" t="str">
        <x:v>普通男女装</x:v>
      </x:c>
      <x:c r="Q794" s="9" t="str">
        <x:v>W_SKIRTS_AVGPAID_1300_1400_ANNUAL2026.xlsx</x:v>
      </x:c>
      <x:c r="R794" s="9" t="str">
        <x:v>默认</x:v>
      </x:c>
      <x:c r="S794" s="9" t="n">
        <x:v>344</x:v>
      </x:c>
      <x:c r="T794" s="9" t="str">
        <x:v>bd4dae1e08e9eca7ddd0669235bf59107cdc418b9c2898fc16f36a7ab5748692</x:v>
      </x:c>
      <x:c r="U794" s="9" t="str">
        <x:v>W_SKIRTS_AVGPAID_1300_1400_ANNUAL2026</x:v>
      </x:c>
      <x:c r="V794" s="9" t="str">
        <x:v>W_SKIRTS_AVGPAID_1300_1400_ANNUAL2026.xlsx / 默认 / 第344行 / SHA256 bd4dae1e08e9eca7ddd0669235bf59107cdc418b9c2898fc16f36a7ab5748692</x:v>
      </x:c>
    </x:row>
    <x:row r="795" ht="58" customHeight="1">
      <x:c r="A795" s="23" t="str">
        <x:v>945531277634</x:v>
      </x:c>
      <x:c r="B795" s="22"/>
      <x:c r="C795" s="22"/>
      <x:c r="D795" s="22"/>
      <x:c r="E795" s="9" t="str">
        <x:v>裙长未明确</x:v>
      </x:c>
      <x:c r="F795" s="9" t="str">
        <x:v>裙装</x:v>
      </x:c>
      <x:c r="G795" s="9" t="str">
        <x:v>半身裙</x:v>
      </x:c>
      <x:c r="H795" s="9" t="str">
        <x:v>女</x:v>
      </x:c>
      <x:c r="I795" s="9" t="str">
        <x:v>高级感蕾丝拼接半身裙伞裙</x:v>
      </x:c>
      <x:c r="J795" s="9" t="str">
        <x:v>SHANG1 BY SHANGYI</x:v>
      </x:c>
      <x:c r="K795" s="24" t="n">
        <x:v>1575.93</x:v>
      </x:c>
      <x:c r="L795" s="25" t="e">
        <x:f>HYPERLINK("https://item.taobao.com/item.htm?id=945531277634","打开商品")</x:f>
        <x:v>HYPERLINK is not implemented. linkLocation=https://item.taobao.com/item.htm?id=945531277634, friendlyName=打开商品</x:v>
      </x:c>
      <x:c r="M795" s="25" t="e">
        <x:f>HYPERLINK("https://data.zhiyitech.cn/itemDetail/overview/base?itemId=945531277634","打开知衣")</x:f>
        <x:v>HYPERLINK is not implemented. linkLocation=https://data.zhiyitech.cn/itemDetail/overview/base?itemId=945531277634, friendlyName=打开知衣</x:v>
      </x:c>
      <x:c r="N795" s="25" t="e">
        <x:f>HYPERLINK("https://img.alicdn.com/bao/uploaded/i1/2214081825235/O1CN01yqTzL01oXgTlvKKHb_!!4611686018427382227-0-item_pic.jpg","查看主图")</x:f>
        <x:v>HYPERLINK is not implemented. linkLocation=https://img.alicdn.com/bao/uploaded/i1/2214081825235/O1CN01yqTzL01oXgTlvKKHb_!!4611686018427382227-0-item_pic.jpg, friendlyName=查看主图</x:v>
      </x:c>
      <x:c r="O795" s="9" t="str">
        <x:v>标题及既有类目语义复核；高级感蕾丝拼接半身裙伞裙；原类目及标题已能确认半身裙；展示使用已知大类，未知裙长下沉到结构字段，不强猜长短。</x:v>
      </x:c>
      <x:c r="P795" s="9" t="str">
        <x:v>普通男女装</x:v>
      </x:c>
      <x:c r="Q795" s="9" t="str">
        <x:v>W_SKIRTS_AVGPAID_1500_1600_ANNUAL2026.xlsx</x:v>
      </x:c>
      <x:c r="R795" s="9" t="str">
        <x:v>默认</x:v>
      </x:c>
      <x:c r="S795" s="9" t="n">
        <x:v>277</x:v>
      </x:c>
      <x:c r="T795" s="9" t="str">
        <x:v>deede8b56943df4f914be45dba170f12e69064023d6ef0e88dbde1764f6ba23e</x:v>
      </x:c>
      <x:c r="U795" s="9" t="str">
        <x:v>W_SKIRTS_AVGPAID_1500_1600_ANNUAL2026</x:v>
      </x:c>
      <x:c r="V795" s="9" t="str">
        <x:v>W_SKIRTS_AVGPAID_1500_1600_ANNUAL2026.xlsx / 默认 / 第277行 / SHA256 deede8b56943df4f914be45dba170f12e69064023d6ef0e88dbde1764f6ba23e</x:v>
      </x:c>
    </x:row>
    <x:row r="796" ht="58" customHeight="1">
      <x:c r="A796" s="23" t="str">
        <x:v>1007451065930</x:v>
      </x:c>
      <x:c r="B796" s="22"/>
      <x:c r="C796" s="22"/>
      <x:c r="D796" s="22"/>
      <x:c r="E796" s="9" t="str">
        <x:v>裙长未明确</x:v>
      </x:c>
      <x:c r="F796" s="9" t="str">
        <x:v>裙装</x:v>
      </x:c>
      <x:c r="G796" s="9" t="str">
        <x:v>半身裙</x:v>
      </x:c>
      <x:c r="H796" s="9" t="str">
        <x:v>女</x:v>
      </x:c>
      <x:c r="I796" s="9" t="str">
        <x:v>SHORT SENTENCE短句设计师款汽车印花褶皱半身裙SK04</x:v>
      </x:c>
      <x:c r="J796" s="9" t="str">
        <x:v>SHORT SENTENCE</x:v>
      </x:c>
      <x:c r="K796" s="24" t="n">
        <x:v>1536.91</x:v>
      </x:c>
      <x:c r="L796" s="25" t="e">
        <x:f>HYPERLINK("https://item.taobao.com/item.htm?id=1007451065930","打开商品")</x:f>
        <x:v>HYPERLINK is not implemented. linkLocation=https://item.taobao.com/item.htm?id=1007451065930, friendlyName=打开商品</x:v>
      </x:c>
      <x:c r="M796" s="25" t="e">
        <x:f>HYPERLINK("https://data.zhiyitech.cn/itemDetail/overview/base?itemId=1007451065930","打开知衣")</x:f>
        <x:v>HYPERLINK is not implemented. linkLocation=https://data.zhiyitech.cn/itemDetail/overview/base?itemId=1007451065930, friendlyName=打开知衣</x:v>
      </x:c>
      <x:c r="N796" s="25" t="e">
        <x:f>HYPERLINK("https://img.alicdn.com/bao/uploaded/i3/3711323064/O1CN01ykRL0g1YVMf7LNm41_!!4611686018427382712-0-item_pic.jpg","查看主图")</x:f>
        <x:v>HYPERLINK is not implemented. linkLocation=https://img.alicdn.com/bao/uploaded/i3/3711323064/O1CN01ykRL0g1YVMf7LNm41_!!4611686018427382712-0-item_pic.jpg, friendlyName=查看主图</x:v>
      </x:c>
      <x:c r="O796" s="9" t="str">
        <x:v>标题及既有类目语义复核；SHORT SENTENCE短句设计师款汽车印花褶皱半身裙SK04；原类目及标题已能确认半身裙；展示使用已知大类，未知裙长下沉到结构字段，不强猜长短。</x:v>
      </x:c>
      <x:c r="P796" s="9" t="str">
        <x:v>普通男女装</x:v>
      </x:c>
      <x:c r="Q796" s="9" t="str">
        <x:v>W_SKIRTS_AVGPAID_1500_1600_ANNUAL2026.xlsx</x:v>
      </x:c>
      <x:c r="R796" s="9" t="str">
        <x:v>默认</x:v>
      </x:c>
      <x:c r="S796" s="9" t="n">
        <x:v>83</x:v>
      </x:c>
      <x:c r="T796" s="9" t="str">
        <x:v>deede8b56943df4f914be45dba170f12e69064023d6ef0e88dbde1764f6ba23e</x:v>
      </x:c>
      <x:c r="U796" s="9" t="str">
        <x:v>W_SKIRTS_AVGPAID_1500_1600_ANNUAL2026</x:v>
      </x:c>
      <x:c r="V796" s="9" t="str">
        <x:v>W_SKIRTS_AVGPAID_1500_1600_ANNUAL2026.xlsx / 默认 / 第83行 / SHA256 deede8b56943df4f914be45dba170f12e69064023d6ef0e88dbde1764f6ba23e</x:v>
      </x:c>
    </x:row>
    <x:row r="797" ht="58" customHeight="1">
      <x:c r="A797" s="23" t="str">
        <x:v>1016157138805</x:v>
      </x:c>
      <x:c r="B797" s="22"/>
      <x:c r="C797" s="22"/>
      <x:c r="D797" s="22"/>
      <x:c r="E797" s="9" t="str">
        <x:v>裙长未明确</x:v>
      </x:c>
      <x:c r="F797" s="9" t="str">
        <x:v>裙装</x:v>
      </x:c>
      <x:c r="G797" s="9" t="str">
        <x:v>半身裙</x:v>
      </x:c>
      <x:c r="H797" s="9" t="str">
        <x:v>女</x:v>
      </x:c>
      <x:c r="I797" s="9" t="str">
        <x:v>SHORT SENTENCE短句春设计师款荷叶边半身裙SK05</x:v>
      </x:c>
      <x:c r="J797" s="9" t="str">
        <x:v>SHORT SENTENCE</x:v>
      </x:c>
      <x:c r="K797" s="24" t="n">
        <x:v>1539.65</x:v>
      </x:c>
      <x:c r="L797" s="25" t="e">
        <x:f>HYPERLINK("https://item.taobao.com/item.htm?id=1016157138805","打开商品")</x:f>
        <x:v>HYPERLINK is not implemented. linkLocation=https://item.taobao.com/item.htm?id=1016157138805, friendlyName=打开商品</x:v>
      </x:c>
      <x:c r="M797" s="25" t="e">
        <x:f>HYPERLINK("https://data.zhiyitech.cn/itemDetail/overview/base?itemId=1016157138805","打开知衣")</x:f>
        <x:v>HYPERLINK is not implemented. linkLocation=https://data.zhiyitech.cn/itemDetail/overview/base?itemId=1016157138805, friendlyName=打开知衣</x:v>
      </x:c>
      <x:c r="N797" s="25" t="e">
        <x:f>HYPERLINK("https://img.alicdn.com/bao/uploaded/i3/3711323064/O1CN01VmoGbg1YVMg8FWntu_!!4611686018427382712-0-item_pic.jpg","查看主图")</x:f>
        <x:v>HYPERLINK is not implemented. linkLocation=https://img.alicdn.com/bao/uploaded/i3/3711323064/O1CN01VmoGbg1YVMg8FWntu_!!4611686018427382712-0-item_pic.jpg, friendlyName=查看主图</x:v>
      </x:c>
      <x:c r="O797" s="9" t="str">
        <x:v>标题及既有类目语义复核；SHORT SENTENCE短句春设计师款荷叶边半身裙SK05；原类目及标题已能确认半身裙；展示使用已知大类，未知裙长下沉到结构字段，不强猜长短。</x:v>
      </x:c>
      <x:c r="P797" s="9" t="str">
        <x:v>普通男女装</x:v>
      </x:c>
      <x:c r="Q797" s="9" t="str">
        <x:v>W_SKIRTS_AVGPAID_1500_1600_ANNUAL2026.xlsx</x:v>
      </x:c>
      <x:c r="R797" s="9" t="str">
        <x:v>默认</x:v>
      </x:c>
      <x:c r="S797" s="9" t="n">
        <x:v>33</x:v>
      </x:c>
      <x:c r="T797" s="9" t="str">
        <x:v>deede8b56943df4f914be45dba170f12e69064023d6ef0e88dbde1764f6ba23e</x:v>
      </x:c>
      <x:c r="U797" s="9" t="str">
        <x:v>W_SKIRTS_AVGPAID_1500_1600_ANNUAL2026</x:v>
      </x:c>
      <x:c r="V797" s="9" t="str">
        <x:v>W_SKIRTS_AVGPAID_1500_1600_ANNUAL2026.xlsx / 默认 / 第33行 / SHA256 deede8b56943df4f914be45dba170f12e69064023d6ef0e88dbde1764f6ba23e</x:v>
      </x:c>
    </x:row>
    <x:row r="798" ht="58" customHeight="1">
      <x:c r="A798" s="23" t="str">
        <x:v>1033718033736</x:v>
      </x:c>
      <x:c r="B798" s="22"/>
      <x:c r="C798" s="22"/>
      <x:c r="D798" s="22"/>
      <x:c r="E798" s="9" t="str">
        <x:v>裙长未明确</x:v>
      </x:c>
      <x:c r="F798" s="9" t="str">
        <x:v>裙装</x:v>
      </x:c>
      <x:c r="G798" s="9" t="str">
        <x:v>半身裙</x:v>
      </x:c>
      <x:c r="H798" s="9" t="str">
        <x:v>女</x:v>
      </x:c>
      <x:c r="I798" s="9" t="str">
        <x:v>SHORT SENTENCE短句春设计师款褶边下摆miu系格纹半身裙夏女SK21</x:v>
      </x:c>
      <x:c r="J798" s="9" t="str">
        <x:v>SHORT SENTENCE</x:v>
      </x:c>
      <x:c r="K798" s="24" t="n">
        <x:v>1521.24</x:v>
      </x:c>
      <x:c r="L798" s="25" t="e">
        <x:f>HYPERLINK("https://item.taobao.com/item.htm?id=1033718033736","打开商品")</x:f>
        <x:v>HYPERLINK is not implemented. linkLocation=https://item.taobao.com/item.htm?id=1033718033736, friendlyName=打开商品</x:v>
      </x:c>
      <x:c r="M798" s="25" t="e">
        <x:f>HYPERLINK("https://data.zhiyitech.cn/itemDetail/overview/base?itemId=1033718033736","打开知衣")</x:f>
        <x:v>HYPERLINK is not implemented. linkLocation=https://data.zhiyitech.cn/itemDetail/overview/base?itemId=1033718033736, friendlyName=打开知衣</x:v>
      </x:c>
      <x:c r="N798" s="25" t="e">
        <x:f>HYPERLINK("https://img.alicdn.com/bao/uploaded/i2/3711323064/O1CN01u2sRBA1YVMg1oLOT4_!!4611686018427382712-0-item_pic.jpg","查看主图")</x:f>
        <x:v>HYPERLINK is not implemented. linkLocation=https://img.alicdn.com/bao/uploaded/i2/3711323064/O1CN01u2sRBA1YVMg1oLOT4_!!4611686018427382712-0-item_pic.jpg, friendlyName=查看主图</x:v>
      </x:c>
      <x:c r="O798" s="9" t="str">
        <x:v>标题及既有类目语义复核；SHORT SENTENCE短句春设计师款褶边下摆miu系格纹半身裙夏女SK21；原类目及标题已能确认半身裙；展示使用已知大类，未知裙长下沉到结构字段，不强猜长短。</x:v>
      </x:c>
      <x:c r="P798" s="9" t="str">
        <x:v>普通男女装</x:v>
      </x:c>
      <x:c r="Q798" s="9" t="str">
        <x:v>W_SKIRTS_AVGPAID_1500_1600_ANNUAL2026.xlsx</x:v>
      </x:c>
      <x:c r="R798" s="9" t="str">
        <x:v>默认</x:v>
      </x:c>
      <x:c r="S798" s="9" t="n">
        <x:v>32</x:v>
      </x:c>
      <x:c r="T798" s="9" t="str">
        <x:v>deede8b56943df4f914be45dba170f12e69064023d6ef0e88dbde1764f6ba23e</x:v>
      </x:c>
      <x:c r="U798" s="9" t="str">
        <x:v>W_SKIRTS_AVGPAID_1500_1600_ANNUAL2026</x:v>
      </x:c>
      <x:c r="V798" s="9" t="str">
        <x:v>W_SKIRTS_AVGPAID_1500_1600_ANNUAL2026.xlsx / 默认 / 第32行 / SHA256 deede8b56943df4f914be45dba170f12e69064023d6ef0e88dbde1764f6ba23e</x:v>
      </x:c>
    </x:row>
    <x:row r="799" ht="58" customHeight="1">
      <x:c r="A799" s="23" t="str">
        <x:v>1046856817583</x:v>
      </x:c>
      <x:c r="B799" s="22"/>
      <x:c r="C799" s="22"/>
      <x:c r="D799" s="22"/>
      <x:c r="E799" s="9" t="str">
        <x:v>裙长未明确</x:v>
      </x:c>
      <x:c r="F799" s="9" t="str">
        <x:v>裙装</x:v>
      </x:c>
      <x:c r="G799" s="9" t="str">
        <x:v>半身裙</x:v>
      </x:c>
      <x:c r="H799" s="9" t="str">
        <x:v>女</x:v>
      </x:c>
      <x:c r="I799" s="9" t="str">
        <x:v>SHORT SENTENCE短句夏日胶囊系列设计师款拼接抽绳百褶半身裙</x:v>
      </x:c>
      <x:c r="J799" s="9" t="str">
        <x:v>SHORT SENTENCE</x:v>
      </x:c>
      <x:c r="K799" s="24" t="n">
        <x:v>1739.77</x:v>
      </x:c>
      <x:c r="L799" s="25" t="e">
        <x:f>HYPERLINK("https://item.taobao.com/item.htm?id=1046856817583","打开商品")</x:f>
        <x:v>HYPERLINK is not implemented. linkLocation=https://item.taobao.com/item.htm?id=1046856817583, friendlyName=打开商品</x:v>
      </x:c>
      <x:c r="M799" s="25" t="e">
        <x:f>HYPERLINK("https://data.zhiyitech.cn/itemDetail/overview/base?itemId=1046856817583","打开知衣")</x:f>
        <x:v>HYPERLINK is not implemented. linkLocation=https://data.zhiyitech.cn/itemDetail/overview/base?itemId=1046856817583, friendlyName=打开知衣</x:v>
      </x:c>
      <x:c r="N799" s="25" t="e">
        <x:f>HYPERLINK("https://img.alicdn.com/bao/uploaded/i1/3711323064/O1CN01aBAzhz1YVMgW8gMnN_!!4611686018427382712-0-item_pic.jpg","查看主图")</x:f>
        <x:v>HYPERLINK is not implemented. linkLocation=https://img.alicdn.com/bao/uploaded/i1/3711323064/O1CN01aBAzhz1YVMgW8gMnN_!!4611686018427382712-0-item_pic.jpg, friendlyName=查看主图</x:v>
      </x:c>
      <x:c r="O799" s="9" t="str">
        <x:v>标题及既有类目语义复核；SHORT SENTENCE短句夏日胶囊系列设计师款拼接抽绳百褶半身裙；原类目及标题已能确认半身裙；展示使用已知大类，未知裙长下沉到结构字段，不强猜长短。</x:v>
      </x:c>
      <x:c r="P799" s="9" t="str">
        <x:v>普通男女装</x:v>
      </x:c>
      <x:c r="Q799" s="9" t="str">
        <x:v>W_SKIRTS_AVGPAID_1700_1800_ANNUAL2026.xlsx</x:v>
      </x:c>
      <x:c r="R799" s="9" t="str">
        <x:v>默认</x:v>
      </x:c>
      <x:c r="S799" s="9" t="n">
        <x:v>238</x:v>
      </x:c>
      <x:c r="T799" s="9" t="str">
        <x:v>c25ed77c53c7c5cfcf728778a0e9b297d8689503f62756a939cbd534ca9b587a</x:v>
      </x:c>
      <x:c r="U799" s="9" t="str">
        <x:v>W_SKIRTS_AVGPAID_1700_1800_ANNUAL2026</x:v>
      </x:c>
      <x:c r="V799" s="9" t="str">
        <x:v>W_SKIRTS_AVGPAID_1700_1800_ANNUAL2026.xlsx / 默认 / 第238行 / SHA256 c25ed77c53c7c5cfcf728778a0e9b297d8689503f62756a939cbd534ca9b587a</x:v>
      </x:c>
    </x:row>
    <x:row r="800" ht="58" customHeight="1">
      <x:c r="A800" s="23" t="str">
        <x:v>1047737800763</x:v>
      </x:c>
      <x:c r="B800" s="22"/>
      <x:c r="C800" s="22"/>
      <x:c r="D800" s="22"/>
      <x:c r="E800" s="9" t="str">
        <x:v>裙长未明确</x:v>
      </x:c>
      <x:c r="F800" s="9" t="str">
        <x:v>裙装</x:v>
      </x:c>
      <x:c r="G800" s="9" t="str">
        <x:v>半身裙</x:v>
      </x:c>
      <x:c r="H800" s="9" t="str">
        <x:v>女</x:v>
      </x:c>
      <x:c r="I800" s="9" t="str">
        <x:v>SHORT SENTENCE短句夏日胶囊系列设计师款花卉十字绣抽绳蓬蓬裙</x:v>
      </x:c>
      <x:c r="J800" s="9" t="str">
        <x:v>SHORT SENTENCE</x:v>
      </x:c>
      <x:c r="K800" s="24" t="n">
        <x:v>1547.47</x:v>
      </x:c>
      <x:c r="L800" s="25" t="e">
        <x:f>HYPERLINK("https://item.taobao.com/item.htm?id=1047737800763","打开商品")</x:f>
        <x:v>HYPERLINK is not implemented. linkLocation=https://item.taobao.com/item.htm?id=1047737800763, friendlyName=打开商品</x:v>
      </x:c>
      <x:c r="M800" s="25" t="e">
        <x:f>HYPERLINK("https://data.zhiyitech.cn/itemDetail/overview/base?itemId=1047737800763","打开知衣")</x:f>
        <x:v>HYPERLINK is not implemented. linkLocation=https://data.zhiyitech.cn/itemDetail/overview/base?itemId=1047737800763, friendlyName=打开知衣</x:v>
      </x:c>
      <x:c r="N800" s="25" t="e">
        <x:f>HYPERLINK("https://img.alicdn.com/bao/uploaded/i2/3711323064/O1CN016NyZUK1YVMgVfd6Xy_!!4611686018427382712-0-item_pic.jpg","查看主图")</x:f>
        <x:v>HYPERLINK is not implemented. linkLocation=https://img.alicdn.com/bao/uploaded/i2/3711323064/O1CN016NyZUK1YVMgVfd6Xy_!!4611686018427382712-0-item_pic.jpg, friendlyName=查看主图</x:v>
      </x:c>
      <x:c r="O800" s="9" t="str">
        <x:v>标题及既有类目语义复核；SHORT SENTENCE短句夏日胶囊系列设计师款花卉十字绣抽绳蓬蓬裙；原类目及标题已能确认半身裙；展示使用已知大类，未知裙长下沉到结构字段，不强猜长短。</x:v>
      </x:c>
      <x:c r="P800" s="9" t="str">
        <x:v>普通男女装</x:v>
      </x:c>
      <x:c r="Q800" s="9" t="str">
        <x:v>W_SKIRTS_AVGPAID_1500_1600_ANNUAL2026.xlsx</x:v>
      </x:c>
      <x:c r="R800" s="9" t="str">
        <x:v>默认</x:v>
      </x:c>
      <x:c r="S800" s="9" t="n">
        <x:v>104</x:v>
      </x:c>
      <x:c r="T800" s="9" t="str">
        <x:v>deede8b56943df4f914be45dba170f12e69064023d6ef0e88dbde1764f6ba23e</x:v>
      </x:c>
      <x:c r="U800" s="9" t="str">
        <x:v>W_SKIRTS_AVGPAID_1500_1600_ANNUAL2026</x:v>
      </x:c>
      <x:c r="V800" s="9" t="str">
        <x:v>W_SKIRTS_AVGPAID_1500_1600_ANNUAL2026.xlsx / 默认 / 第104行 / SHA256 deede8b56943df4f914be45dba170f12e69064023d6ef0e88dbde1764f6ba23e</x:v>
      </x:c>
    </x:row>
    <x:row r="801" ht="58" customHeight="1">
      <x:c r="A801" s="23" t="str">
        <x:v>1049377761346</x:v>
      </x:c>
      <x:c r="B801" s="22"/>
      <x:c r="C801" s="22"/>
      <x:c r="D801" s="22"/>
      <x:c r="E801" s="9" t="str">
        <x:v>裙长未明确</x:v>
      </x:c>
      <x:c r="F801" s="9" t="str">
        <x:v>裙装</x:v>
      </x:c>
      <x:c r="G801" s="9" t="str">
        <x:v>半身裙</x:v>
      </x:c>
      <x:c r="H801" s="9" t="str">
        <x:v>女</x:v>
      </x:c>
      <x:c r="I801" s="9" t="str">
        <x:v>SHORT SENTENCE短句夏日胶囊系列设计师款四色条纹针织半裙</x:v>
      </x:c>
      <x:c r="J801" s="9" t="str">
        <x:v>SHORT SENTENCE</x:v>
      </x:c>
      <x:c r="K801" s="24" t="n">
        <x:v>1740.32</x:v>
      </x:c>
      <x:c r="L801" s="25" t="e">
        <x:f>HYPERLINK("https://item.taobao.com/item.htm?id=1049377761346","打开商品")</x:f>
        <x:v>HYPERLINK is not implemented. linkLocation=https://item.taobao.com/item.htm?id=1049377761346, friendlyName=打开商品</x:v>
      </x:c>
      <x:c r="M801" s="25" t="e">
        <x:f>HYPERLINK("https://data.zhiyitech.cn/itemDetail/overview/base?itemId=1049377761346","打开知衣")</x:f>
        <x:v>HYPERLINK is not implemented. linkLocation=https://data.zhiyitech.cn/itemDetail/overview/base?itemId=1049377761346, friendlyName=打开知衣</x:v>
      </x:c>
      <x:c r="N801" s="25" t="e">
        <x:f>HYPERLINK("https://img.alicdn.com/bao/uploaded/i3/3711323064/O1CN01d4mbfu1YVMgcS83J0_!!4611686018427382712-0-item_pic.jpg","查看主图")</x:f>
        <x:v>HYPERLINK is not implemented. linkLocation=https://img.alicdn.com/bao/uploaded/i3/3711323064/O1CN01d4mbfu1YVMgcS83J0_!!4611686018427382712-0-item_pic.jpg, friendlyName=查看主图</x:v>
      </x:c>
      <x:c r="O801" s="9" t="str">
        <x:v>标题及既有类目语义复核；SHORT SENTENCE短句夏日胶囊系列设计师款四色条纹针织半裙；原类目及标题已能确认半身裙；展示使用已知大类，未知裙长下沉到结构字段，不强猜长短。</x:v>
      </x:c>
      <x:c r="P801" s="9" t="str">
        <x:v>普通男女装</x:v>
      </x:c>
      <x:c r="Q801" s="9" t="str">
        <x:v>W_SKIRTS_AVGPAID_1700_1800_ANNUAL2026.xlsx</x:v>
      </x:c>
      <x:c r="R801" s="9" t="str">
        <x:v>默认</x:v>
      </x:c>
      <x:c r="S801" s="9" t="n">
        <x:v>325</x:v>
      </x:c>
      <x:c r="T801" s="9" t="str">
        <x:v>c25ed77c53c7c5cfcf728778a0e9b297d8689503f62756a939cbd534ca9b587a</x:v>
      </x:c>
      <x:c r="U801" s="9" t="str">
        <x:v>W_SKIRTS_AVGPAID_1700_1800_ANNUAL2026</x:v>
      </x:c>
      <x:c r="V801" s="9" t="str">
        <x:v>W_SKIRTS_AVGPAID_1700_1800_ANNUAL2026.xlsx / 默认 / 第325行 / SHA256 c25ed77c53c7c5cfcf728778a0e9b297d8689503f62756a939cbd534ca9b587a</x:v>
      </x:c>
    </x:row>
    <x:row r="802" ht="58" customHeight="1">
      <x:c r="A802" s="23" t="str">
        <x:v>1049378509486</x:v>
      </x:c>
      <x:c r="B802" s="22"/>
      <x:c r="C802" s="22"/>
      <x:c r="D802" s="22"/>
      <x:c r="E802" s="9" t="str">
        <x:v>裙长未明确</x:v>
      </x:c>
      <x:c r="F802" s="9" t="str">
        <x:v>裙装</x:v>
      </x:c>
      <x:c r="G802" s="9" t="str">
        <x:v>半身裙</x:v>
      </x:c>
      <x:c r="H802" s="9" t="str">
        <x:v>女</x:v>
      </x:c>
      <x:c r="I802" s="9" t="str">
        <x:v>SHORT SENTENCE短句夏日胶囊系列设计师款花卉刺绣弹力腰半裙</x:v>
      </x:c>
      <x:c r="J802" s="9" t="str">
        <x:v>SHORT SENTENCE</x:v>
      </x:c>
      <x:c r="K802" s="24" t="n">
        <x:v>1744.31</x:v>
      </x:c>
      <x:c r="L802" s="25" t="e">
        <x:f>HYPERLINK("https://item.taobao.com/item.htm?id=1049378509486","打开商品")</x:f>
        <x:v>HYPERLINK is not implemented. linkLocation=https://item.taobao.com/item.htm?id=1049378509486, friendlyName=打开商品</x:v>
      </x:c>
      <x:c r="M802" s="25" t="e">
        <x:f>HYPERLINK("https://data.zhiyitech.cn/itemDetail/overview/base?itemId=1049378509486","打开知衣")</x:f>
        <x:v>HYPERLINK is not implemented. linkLocation=https://data.zhiyitech.cn/itemDetail/overview/base?itemId=1049378509486, friendlyName=打开知衣</x:v>
      </x:c>
      <x:c r="N802" s="25" t="e">
        <x:f>HYPERLINK("https://img.alicdn.com/bao/uploaded/i4/3711323064/O1CN01gFMi9F1YVMgqqvYZ6_!!4611686018427382712-0-item_pic.jpg","查看主图")</x:f>
        <x:v>HYPERLINK is not implemented. linkLocation=https://img.alicdn.com/bao/uploaded/i4/3711323064/O1CN01gFMi9F1YVMgqqvYZ6_!!4611686018427382712-0-item_pic.jpg, friendlyName=查看主图</x:v>
      </x:c>
      <x:c r="O802" s="9" t="str">
        <x:v>标题及既有类目语义复核；SHORT SENTENCE短句夏日胶囊系列设计师款花卉刺绣弹力腰半裙；原类目及标题已能确认半身裙；展示使用已知大类，未知裙长下沉到结构字段，不强猜长短。</x:v>
      </x:c>
      <x:c r="P802" s="9" t="str">
        <x:v>普通男女装</x:v>
      </x:c>
      <x:c r="Q802" s="9" t="str">
        <x:v>W_SKIRTS_AVGPAID_1700_1800_ANNUAL2026.xlsx</x:v>
      </x:c>
      <x:c r="R802" s="9" t="str">
        <x:v>默认</x:v>
      </x:c>
      <x:c r="S802" s="9" t="n">
        <x:v>17</x:v>
      </x:c>
      <x:c r="T802" s="9" t="str">
        <x:v>c25ed77c53c7c5cfcf728778a0e9b297d8689503f62756a939cbd534ca9b587a</x:v>
      </x:c>
      <x:c r="U802" s="9" t="str">
        <x:v>W_SKIRTS_AVGPAID_1700_1800_ANNUAL2026</x:v>
      </x:c>
      <x:c r="V802" s="9" t="str">
        <x:v>W_SKIRTS_AVGPAID_1700_1800_ANNUAL2026.xlsx / 默认 / 第17行 / SHA256 c25ed77c53c7c5cfcf728778a0e9b297d8689503f62756a939cbd534ca9b587a</x:v>
      </x:c>
    </x:row>
    <x:row r="803" ht="58" customHeight="1">
      <x:c r="A803" s="23" t="str">
        <x:v>1059986119178</x:v>
      </x:c>
      <x:c r="B803" s="22"/>
      <x:c r="C803" s="22"/>
      <x:c r="D803" s="22"/>
      <x:c r="E803" s="9" t="str">
        <x:v>裙长未明确</x:v>
      </x:c>
      <x:c r="F803" s="9" t="str">
        <x:v>裙装</x:v>
      </x:c>
      <x:c r="G803" s="9" t="str">
        <x:v>半身裙</x:v>
      </x:c>
      <x:c r="H803" s="9" t="str">
        <x:v>女</x:v>
      </x:c>
      <x:c r="I803" s="9" t="str">
        <x:v>SHORT SENTENCE短句26新品设计师款压褶条纹半裙伞裙博主同款SK12</x:v>
      </x:c>
      <x:c r="J803" s="9" t="str">
        <x:v>SHORT SENTENCE</x:v>
      </x:c>
      <x:c r="K803" s="24" t="n">
        <x:v>1536.75</x:v>
      </x:c>
      <x:c r="L803" s="25" t="e">
        <x:f>HYPERLINK("https://item.taobao.com/item.htm?id=1059986119178","打开商品")</x:f>
        <x:v>HYPERLINK is not implemented. linkLocation=https://item.taobao.com/item.htm?id=1059986119178, friendlyName=打开商品</x:v>
      </x:c>
      <x:c r="M803" s="25" t="e">
        <x:f>HYPERLINK("https://data.zhiyitech.cn/itemDetail/overview/base?itemId=1059986119178","打开知衣")</x:f>
        <x:v>HYPERLINK is not implemented. linkLocation=https://data.zhiyitech.cn/itemDetail/overview/base?itemId=1059986119178, friendlyName=打开知衣</x:v>
      </x:c>
      <x:c r="N803" s="25" t="e">
        <x:f>HYPERLINK("https://img.alicdn.com/bao/uploaded/i1/3711323064/O1CN01WE3NZD1YVMhFcSGJP_!!4611686018427382712-0-item_pic.jpg","查看主图")</x:f>
        <x:v>HYPERLINK is not implemented. linkLocation=https://img.alicdn.com/bao/uploaded/i1/3711323064/O1CN01WE3NZD1YVMhFcSGJP_!!4611686018427382712-0-item_pic.jpg, friendlyName=查看主图</x:v>
      </x:c>
      <x:c r="O803" s="9" t="str">
        <x:v>标题及既有类目语义复核；SHORT SENTENCE短句26新品设计师款压褶条纹半裙伞裙博主同款SK12；原类目及标题已能确认半身裙；展示使用已知大类，未知裙长下沉到结构字段，不强猜长短。</x:v>
      </x:c>
      <x:c r="P803" s="9" t="str">
        <x:v>普通男女装</x:v>
      </x:c>
      <x:c r="Q803" s="9" t="str">
        <x:v>W_SKIRTS_AVGPAID_1500_1600_ANNUAL2026.xlsx</x:v>
      </x:c>
      <x:c r="R803" s="9" t="str">
        <x:v>默认</x:v>
      </x:c>
      <x:c r="S803" s="9" t="n">
        <x:v>23</x:v>
      </x:c>
      <x:c r="T803" s="9" t="str">
        <x:v>deede8b56943df4f914be45dba170f12e69064023d6ef0e88dbde1764f6ba23e</x:v>
      </x:c>
      <x:c r="U803" s="9" t="str">
        <x:v>W_SKIRTS_AVGPAID_1500_1600_ANNUAL2026</x:v>
      </x:c>
      <x:c r="V803" s="9" t="str">
        <x:v>W_SKIRTS_AVGPAID_1500_1600_ANNUAL2026.xlsx / 默认 / 第23行 / SHA256 deede8b56943df4f914be45dba170f12e69064023d6ef0e88dbde1764f6ba23e</x:v>
      </x:c>
    </x:row>
    <x:row r="804" ht="58" customHeight="1">
      <x:c r="A804" s="23" t="str">
        <x:v>866461359174</x:v>
      </x:c>
      <x:c r="B804" s="22"/>
      <x:c r="C804" s="22"/>
      <x:c r="D804" s="22"/>
      <x:c r="E804" s="9" t="str">
        <x:v>裙长未明确</x:v>
      </x:c>
      <x:c r="F804" s="9" t="str">
        <x:v>裙装</x:v>
      </x:c>
      <x:c r="G804" s="9" t="str">
        <x:v>半身裙</x:v>
      </x:c>
      <x:c r="H804" s="9" t="str">
        <x:v>女</x:v>
      </x:c>
      <x:c r="I804" s="9" t="str">
        <x:v>SHORT SENTENCE短句设计师款低腰抽褶双层半裙</x:v>
      </x:c>
      <x:c r="J804" s="9" t="str">
        <x:v>SHORT SENTENCE</x:v>
      </x:c>
      <x:c r="K804" s="24" t="n">
        <x:v>1756.63</x:v>
      </x:c>
      <x:c r="L804" s="25" t="e">
        <x:f>HYPERLINK("https://item.taobao.com/item.htm?id=866461359174","打开商品")</x:f>
        <x:v>HYPERLINK is not implemented. linkLocation=https://item.taobao.com/item.htm?id=866461359174, friendlyName=打开商品</x:v>
      </x:c>
      <x:c r="M804" s="25" t="e">
        <x:f>HYPERLINK("https://data.zhiyitech.cn/itemDetail/overview/base?itemId=866461359174","打开知衣")</x:f>
        <x:v>HYPERLINK is not implemented. linkLocation=https://data.zhiyitech.cn/itemDetail/overview/base?itemId=866461359174, friendlyName=打开知衣</x:v>
      </x:c>
      <x:c r="N804" s="25" t="e">
        <x:f>HYPERLINK("https://img.alicdn.com/bao/uploaded/i3/3711323064/O1CN01jeBsaw1YVMZKYBJaW_!!4611686018427382712-0-item_pic.jpg","查看主图")</x:f>
        <x:v>HYPERLINK is not implemented. linkLocation=https://img.alicdn.com/bao/uploaded/i3/3711323064/O1CN01jeBsaw1YVMZKYBJaW_!!4611686018427382712-0-item_pic.jpg, friendlyName=查看主图</x:v>
      </x:c>
      <x:c r="O804" s="9" t="str">
        <x:v>标题及既有类目语义复核；SHORT SENTENCE短句设计师款低腰抽褶双层半裙；原类目及标题已能确认半身裙；展示使用已知大类，未知裙长下沉到结构字段，不强猜长短。</x:v>
      </x:c>
      <x:c r="P804" s="9" t="str">
        <x:v>普通男女装</x:v>
      </x:c>
      <x:c r="Q804" s="9" t="str">
        <x:v>W_SKIRTS_AVGPAID_1700_1800_ANNUAL2026.xlsx</x:v>
      </x:c>
      <x:c r="R804" s="9" t="str">
        <x:v>默认</x:v>
      </x:c>
      <x:c r="S804" s="9" t="n">
        <x:v>297</x:v>
      </x:c>
      <x:c r="T804" s="9" t="str">
        <x:v>c25ed77c53c7c5cfcf728778a0e9b297d8689503f62756a939cbd534ca9b587a</x:v>
      </x:c>
      <x:c r="U804" s="9" t="str">
        <x:v>W_SKIRTS_AVGPAID_1700_1800_ANNUAL2026</x:v>
      </x:c>
      <x:c r="V804" s="9" t="str">
        <x:v>W_SKIRTS_AVGPAID_1700_1800_ANNUAL2026.xlsx / 默认 / 第297行 / SHA256 c25ed77c53c7c5cfcf728778a0e9b297d8689503f62756a939cbd534ca9b587a</x:v>
      </x:c>
    </x:row>
    <x:row r="805" ht="58" customHeight="1">
      <x:c r="A805" s="23" t="str">
        <x:v>867303660110</x:v>
      </x:c>
      <x:c r="B805" s="22"/>
      <x:c r="C805" s="22"/>
      <x:c r="D805" s="22"/>
      <x:c r="E805" s="9" t="str">
        <x:v>裙长未明确</x:v>
      </x:c>
      <x:c r="F805" s="9" t="str">
        <x:v>裙装</x:v>
      </x:c>
      <x:c r="G805" s="9" t="str">
        <x:v>半身裙</x:v>
      </x:c>
      <x:c r="H805" s="9" t="str">
        <x:v>女</x:v>
      </x:c>
      <x:c r="I805" s="9" t="str">
        <x:v>SHORT SENTENCE短句设计师款波嬉系装饰小人针织半裙</x:v>
      </x:c>
      <x:c r="J805" s="9" t="str">
        <x:v>SHORT SENTENCE</x:v>
      </x:c>
      <x:c r="K805" s="24" t="n">
        <x:v>1735.65</x:v>
      </x:c>
      <x:c r="L805" s="25" t="e">
        <x:f>HYPERLINK("https://item.taobao.com/item.htm?id=867303660110","打开商品")</x:f>
        <x:v>HYPERLINK is not implemented. linkLocation=https://item.taobao.com/item.htm?id=867303660110, friendlyName=打开商品</x:v>
      </x:c>
      <x:c r="M805" s="25" t="e">
        <x:f>HYPERLINK("https://data.zhiyitech.cn/itemDetail/overview/base?itemId=867303660110","打开知衣")</x:f>
        <x:v>HYPERLINK is not implemented. linkLocation=https://data.zhiyitech.cn/itemDetail/overview/base?itemId=867303660110, friendlyName=打开知衣</x:v>
      </x:c>
      <x:c r="N805" s="25" t="e">
        <x:f>HYPERLINK("https://img.alicdn.com/bao/uploaded/i2/3711323064/O1CN012giEGm1YVMZfA4Ymi_!!4611686018427382712-0-item_pic.jpg","查看主图")</x:f>
        <x:v>HYPERLINK is not implemented. linkLocation=https://img.alicdn.com/bao/uploaded/i2/3711323064/O1CN012giEGm1YVMZfA4Ymi_!!4611686018427382712-0-item_pic.jpg, friendlyName=查看主图</x:v>
      </x:c>
      <x:c r="O805" s="9" t="str">
        <x:v>标题及既有类目语义复核；SHORT SENTENCE短句设计师款波嬉系装饰小人针织半裙；原类目及标题已能确认半身裙；展示使用已知大类，未知裙长下沉到结构字段，不强猜长短。</x:v>
      </x:c>
      <x:c r="P805" s="9" t="str">
        <x:v>普通男女装</x:v>
      </x:c>
      <x:c r="Q805" s="9" t="str">
        <x:v>W_SKIRTS_AVGPAID_1700_1800_ANNUAL2026.xlsx</x:v>
      </x:c>
      <x:c r="R805" s="9" t="str">
        <x:v>默认</x:v>
      </x:c>
      <x:c r="S805" s="9" t="n">
        <x:v>389</x:v>
      </x:c>
      <x:c r="T805" s="9" t="str">
        <x:v>c25ed77c53c7c5cfcf728778a0e9b297d8689503f62756a939cbd534ca9b587a</x:v>
      </x:c>
      <x:c r="U805" s="9" t="str">
        <x:v>W_SKIRTS_AVGPAID_1700_1800_ANNUAL2026</x:v>
      </x:c>
      <x:c r="V805" s="9" t="str">
        <x:v>W_SKIRTS_AVGPAID_1700_1800_ANNUAL2026.xlsx / 默认 / 第389行 / SHA256 c25ed77c53c7c5cfcf728778a0e9b297d8689503f62756a939cbd534ca9b587a</x:v>
      </x:c>
    </x:row>
    <x:row r="806" ht="58" customHeight="1">
      <x:c r="A806" s="23" t="str">
        <x:v>889619672734</x:v>
      </x:c>
      <x:c r="B806" s="22"/>
      <x:c r="C806" s="22"/>
      <x:c r="D806" s="22"/>
      <x:c r="E806" s="9" t="str">
        <x:v>裙长未明确</x:v>
      </x:c>
      <x:c r="F806" s="9" t="str">
        <x:v>裙装</x:v>
      </x:c>
      <x:c r="G806" s="9" t="str">
        <x:v>半身裙</x:v>
      </x:c>
      <x:c r="H806" s="9" t="str">
        <x:v>女</x:v>
      </x:c>
      <x:c r="I806" s="9" t="str">
        <x:v>SHORT SENTENCE短句设计师款贴布绣松紧腰半裙芭蕾风</x:v>
      </x:c>
      <x:c r="J806" s="9" t="str">
        <x:v>SHORT SENTENCE</x:v>
      </x:c>
      <x:c r="K806" s="24" t="n">
        <x:v>1753</x:v>
      </x:c>
      <x:c r="L806" s="25" t="e">
        <x:f>HYPERLINK("https://item.taobao.com/item.htm?id=889619672734","打开商品")</x:f>
        <x:v>HYPERLINK is not implemented. linkLocation=https://item.taobao.com/item.htm?id=889619672734, friendlyName=打开商品</x:v>
      </x:c>
      <x:c r="M806" s="25" t="e">
        <x:f>HYPERLINK("https://data.zhiyitech.cn/itemDetail/overview/base?itemId=889619672734","打开知衣")</x:f>
        <x:v>HYPERLINK is not implemented. linkLocation=https://data.zhiyitech.cn/itemDetail/overview/base?itemId=889619672734, friendlyName=打开知衣</x:v>
      </x:c>
      <x:c r="N806" s="25" t="e">
        <x:f>HYPERLINK("https://img.alicdn.com/bao/uploaded/i4/3711323064/O1CN01adOCnZ1YVMa673PpZ_!!4611686018427382712-0-item_pic.jpg","查看主图")</x:f>
        <x:v>HYPERLINK is not implemented. linkLocation=https://img.alicdn.com/bao/uploaded/i4/3711323064/O1CN01adOCnZ1YVMa673PpZ_!!4611686018427382712-0-item_pic.jpg, friendlyName=查看主图</x:v>
      </x:c>
      <x:c r="O806" s="9" t="str">
        <x:v>标题及既有类目语义复核；SHORT SENTENCE短句设计师款贴布绣松紧腰半裙芭蕾风；原类目及标题已能确认半身裙；展示使用已知大类，未知裙长下沉到结构字段，不强猜长短。</x:v>
      </x:c>
      <x:c r="P806" s="9" t="str">
        <x:v>普通男女装</x:v>
      </x:c>
      <x:c r="Q806" s="9" t="str">
        <x:v>W_SKIRTS_AVGPAID_1700_1800_ANNUAL2026.xlsx</x:v>
      </x:c>
      <x:c r="R806" s="9" t="str">
        <x:v>默认</x:v>
      </x:c>
      <x:c r="S806" s="9" t="n">
        <x:v>432</x:v>
      </x:c>
      <x:c r="T806" s="9" t="str">
        <x:v>c25ed77c53c7c5cfcf728778a0e9b297d8689503f62756a939cbd534ca9b587a</x:v>
      </x:c>
      <x:c r="U806" s="9" t="str">
        <x:v>W_SKIRTS_AVGPAID_1700_1800_ANNUAL2026</x:v>
      </x:c>
      <x:c r="V806" s="9" t="str">
        <x:v>W_SKIRTS_AVGPAID_1700_1800_ANNUAL2026.xlsx / 默认 / 第432行 / SHA256 c25ed77c53c7c5cfcf728778a0e9b297d8689503f62756a939cbd534ca9b587a</x:v>
      </x:c>
    </x:row>
    <x:row r="807" ht="58" customHeight="1">
      <x:c r="A807" s="23" t="str">
        <x:v>894388038493</x:v>
      </x:c>
      <x:c r="B807" s="22"/>
      <x:c r="C807" s="22"/>
      <x:c r="D807" s="22"/>
      <x:c r="E807" s="9" t="str">
        <x:v>裙长未明确</x:v>
      </x:c>
      <x:c r="F807" s="9" t="str">
        <x:v>裙装</x:v>
      </x:c>
      <x:c r="G807" s="9" t="str">
        <x:v>半身裙</x:v>
      </x:c>
      <x:c r="H807" s="9" t="str">
        <x:v>女</x:v>
      </x:c>
      <x:c r="I807" s="9" t="str">
        <x:v>SHORT SENTENCE短句设计师款镂空不规则下摆针织半裙</x:v>
      </x:c>
      <x:c r="J807" s="9" t="str">
        <x:v>SHORT SENTENCE</x:v>
      </x:c>
      <x:c r="K807" s="24" t="n">
        <x:v>1594.84</x:v>
      </x:c>
      <x:c r="L807" s="25" t="e">
        <x:f>HYPERLINK("https://item.taobao.com/item.htm?id=894388038493","打开商品")</x:f>
        <x:v>HYPERLINK is not implemented. linkLocation=https://item.taobao.com/item.htm?id=894388038493, friendlyName=打开商品</x:v>
      </x:c>
      <x:c r="M807" s="25" t="e">
        <x:f>HYPERLINK("https://data.zhiyitech.cn/itemDetail/overview/base?itemId=894388038493","打开知衣")</x:f>
        <x:v>HYPERLINK is not implemented. linkLocation=https://data.zhiyitech.cn/itemDetail/overview/base?itemId=894388038493, friendlyName=打开知衣</x:v>
      </x:c>
      <x:c r="N807" s="25" t="e">
        <x:f>HYPERLINK("https://img.alicdn.com/bao/uploaded/i4/3711323064/O1CN01Eg0S3L1YVMgFCsewG_!!4611686018427382712-0-item_pic.jpg","查看主图")</x:f>
        <x:v>HYPERLINK is not implemented. linkLocation=https://img.alicdn.com/bao/uploaded/i4/3711323064/O1CN01Eg0S3L1YVMgFCsewG_!!4611686018427382712-0-item_pic.jpg, friendlyName=查看主图</x:v>
      </x:c>
      <x:c r="O807" s="9" t="str">
        <x:v>标题及既有类目语义复核；SHORT SENTENCE短句设计师款镂空不规则下摆针织半裙；原类目及标题已能确认半身裙；展示使用已知大类，未知裙长下沉到结构字段，不强猜长短。</x:v>
      </x:c>
      <x:c r="P807" s="9" t="str">
        <x:v>普通男女装</x:v>
      </x:c>
      <x:c r="Q807" s="9" t="str">
        <x:v>W_SKIRTS_AVGPAID_1500_1600_ANNUAL2026.xlsx</x:v>
      </x:c>
      <x:c r="R807" s="9" t="str">
        <x:v>默认</x:v>
      </x:c>
      <x:c r="S807" s="9" t="n">
        <x:v>457</x:v>
      </x:c>
      <x:c r="T807" s="9" t="str">
        <x:v>deede8b56943df4f914be45dba170f12e69064023d6ef0e88dbde1764f6ba23e</x:v>
      </x:c>
      <x:c r="U807" s="9" t="str">
        <x:v>W_SKIRTS_AVGPAID_1500_1600_ANNUAL2026</x:v>
      </x:c>
      <x:c r="V807" s="9" t="str">
        <x:v>W_SKIRTS_AVGPAID_1500_1600_ANNUAL2026.xlsx / 默认 / 第457行 / SHA256 deede8b56943df4f914be45dba170f12e69064023d6ef0e88dbde1764f6ba23e</x:v>
      </x:c>
    </x:row>
    <x:row r="808" ht="58" customHeight="1">
      <x:c r="A808" s="23" t="str">
        <x:v>899092307423</x:v>
      </x:c>
      <x:c r="B808" s="22"/>
      <x:c r="C808" s="22"/>
      <x:c r="D808" s="22"/>
      <x:c r="E808" s="9" t="str">
        <x:v>裙长未明确</x:v>
      </x:c>
      <x:c r="F808" s="9" t="str">
        <x:v>裙装</x:v>
      </x:c>
      <x:c r="G808" s="9" t="str">
        <x:v>半身裙</x:v>
      </x:c>
      <x:c r="H808" s="9" t="str">
        <x:v>女</x:v>
      </x:c>
      <x:c r="I808" s="9" t="str">
        <x:v>SHORT SENTENCE短句设计师款小碎花印花拼色半裙博主同款</x:v>
      </x:c>
      <x:c r="J808" s="9" t="str">
        <x:v>SHORT SENTENCE</x:v>
      </x:c>
      <x:c r="K808" s="24" t="n">
        <x:v>1544.69</x:v>
      </x:c>
      <x:c r="L808" s="25" t="e">
        <x:f>HYPERLINK("https://item.taobao.com/item.htm?id=899092307423","打开商品")</x:f>
        <x:v>HYPERLINK is not implemented. linkLocation=https://item.taobao.com/item.htm?id=899092307423, friendlyName=打开商品</x:v>
      </x:c>
      <x:c r="M808" s="25" t="e">
        <x:f>HYPERLINK("https://data.zhiyitech.cn/itemDetail/overview/base?itemId=899092307423","打开知衣")</x:f>
        <x:v>HYPERLINK is not implemented. linkLocation=https://data.zhiyitech.cn/itemDetail/overview/base?itemId=899092307423, friendlyName=打开知衣</x:v>
      </x:c>
      <x:c r="N808" s="25" t="e">
        <x:f>HYPERLINK("https://img.alicdn.com/bao/uploaded/i2/3711323064/O1CN01ftk0zX1YVMaW5t4Z6_!!4611686018427382712-0-item_pic.jpg","查看主图")</x:f>
        <x:v>HYPERLINK is not implemented. linkLocation=https://img.alicdn.com/bao/uploaded/i2/3711323064/O1CN01ftk0zX1YVMaW5t4Z6_!!4611686018427382712-0-item_pic.jpg, friendlyName=查看主图</x:v>
      </x:c>
      <x:c r="O808" s="9" t="str">
        <x:v>标题及既有类目语义复核；SHORT SENTENCE短句设计师款小碎花印花拼色半裙博主同款；原类目及标题已能确认半身裙；展示使用已知大类，未知裙长下沉到结构字段，不强猜长短。</x:v>
      </x:c>
      <x:c r="P808" s="9" t="str">
        <x:v>普通男女装</x:v>
      </x:c>
      <x:c r="Q808" s="9" t="str">
        <x:v>W_SKIRTS_AVGPAID_1500_1600_ANNUAL2026.xlsx</x:v>
      </x:c>
      <x:c r="R808" s="9" t="str">
        <x:v>默认</x:v>
      </x:c>
      <x:c r="S808" s="9" t="n">
        <x:v>318</x:v>
      </x:c>
      <x:c r="T808" s="9" t="str">
        <x:v>deede8b56943df4f914be45dba170f12e69064023d6ef0e88dbde1764f6ba23e</x:v>
      </x:c>
      <x:c r="U808" s="9" t="str">
        <x:v>W_SKIRTS_AVGPAID_1500_1600_ANNUAL2026</x:v>
      </x:c>
      <x:c r="V808" s="9" t="str">
        <x:v>W_SKIRTS_AVGPAID_1500_1600_ANNUAL2026.xlsx / 默认 / 第318行 / SHA256 deede8b56943df4f914be45dba170f12e69064023d6ef0e88dbde1764f6ba23e</x:v>
      </x:c>
    </x:row>
    <x:row r="809" ht="58" customHeight="1">
      <x:c r="A809" s="23" t="str">
        <x:v>919633935188</x:v>
      </x:c>
      <x:c r="B809" s="22"/>
      <x:c r="C809" s="22"/>
      <x:c r="D809" s="22"/>
      <x:c r="E809" s="9" t="str">
        <x:v>裙长未明确</x:v>
      </x:c>
      <x:c r="F809" s="9" t="str">
        <x:v>裙装</x:v>
      </x:c>
      <x:c r="G809" s="9" t="str">
        <x:v>半身裙</x:v>
      </x:c>
      <x:c r="H809" s="9" t="str">
        <x:v>女</x:v>
      </x:c>
      <x:c r="I809" s="9" t="str">
        <x:v>SHORT SENTENCE短句夏日胶囊系列设计师款贴布绣半身裙博主同款</x:v>
      </x:c>
      <x:c r="J809" s="9" t="str">
        <x:v>SHORT SENTENCE</x:v>
      </x:c>
      <x:c r="K809" s="24" t="n">
        <x:v>1512.28</x:v>
      </x:c>
      <x:c r="L809" s="25" t="e">
        <x:f>HYPERLINK("https://item.taobao.com/item.htm?id=919633935188","打开商品")</x:f>
        <x:v>HYPERLINK is not implemented. linkLocation=https://item.taobao.com/item.htm?id=919633935188, friendlyName=打开商品</x:v>
      </x:c>
      <x:c r="M809" s="25" t="e">
        <x:f>HYPERLINK("https://data.zhiyitech.cn/itemDetail/overview/base?itemId=919633935188","打开知衣")</x:f>
        <x:v>HYPERLINK is not implemented. linkLocation=https://data.zhiyitech.cn/itemDetail/overview/base?itemId=919633935188, friendlyName=打开知衣</x:v>
      </x:c>
      <x:c r="N809" s="25" t="e">
        <x:f>HYPERLINK("https://img.alicdn.com/bao/uploaded/i2/3711323064/O1CN01dNUkYr1YVMbnsjtXG_!!4611686018427382712-0-item_pic.jpg","查看主图")</x:f>
        <x:v>HYPERLINK is not implemented. linkLocation=https://img.alicdn.com/bao/uploaded/i2/3711323064/O1CN01dNUkYr1YVMbnsjtXG_!!4611686018427382712-0-item_pic.jpg, friendlyName=查看主图</x:v>
      </x:c>
      <x:c r="O809" s="9" t="str">
        <x:v>标题及既有类目语义复核；SHORT SENTENCE短句夏日胶囊系列设计师款贴布绣半身裙博主同款；原类目及标题已能确认半身裙；展示使用已知大类，未知裙长下沉到结构字段，不强猜长短。</x:v>
      </x:c>
      <x:c r="P809" s="9" t="str">
        <x:v>普通男女装</x:v>
      </x:c>
      <x:c r="Q809" s="9" t="str">
        <x:v>W_SKIRTS_AVGPAID_1500_1600_ANNUAL2026.xlsx</x:v>
      </x:c>
      <x:c r="R809" s="9" t="str">
        <x:v>默认</x:v>
      </x:c>
      <x:c r="S809" s="9" t="n">
        <x:v>325</x:v>
      </x:c>
      <x:c r="T809" s="9" t="str">
        <x:v>deede8b56943df4f914be45dba170f12e69064023d6ef0e88dbde1764f6ba23e</x:v>
      </x:c>
      <x:c r="U809" s="9" t="str">
        <x:v>W_SKIRTS_AVGPAID_1500_1600_ANNUAL2026</x:v>
      </x:c>
      <x:c r="V809" s="9" t="str">
        <x:v>W_SKIRTS_AVGPAID_1500_1600_ANNUAL2026.xlsx / 默认 / 第325行 / SHA256 deede8b56943df4f914be45dba170f12e69064023d6ef0e88dbde1764f6ba23e</x:v>
      </x:c>
    </x:row>
    <x:row r="810" ht="58" customHeight="1">
      <x:c r="A810" s="23" t="str">
        <x:v>920503373878</x:v>
      </x:c>
      <x:c r="B810" s="22"/>
      <x:c r="C810" s="22"/>
      <x:c r="D810" s="22"/>
      <x:c r="E810" s="9" t="str">
        <x:v>裙长未明确</x:v>
      </x:c>
      <x:c r="F810" s="9" t="str">
        <x:v>裙装</x:v>
      </x:c>
      <x:c r="G810" s="9" t="str">
        <x:v>半身裙</x:v>
      </x:c>
      <x:c r="H810" s="9" t="str">
        <x:v>女</x:v>
      </x:c>
      <x:c r="I810" s="9" t="str">
        <x:v>SHORT SENTENCE短句夏日胶囊系列设计师款碎花拼布半身裙明星同款</x:v>
      </x:c>
      <x:c r="J810" s="9" t="str">
        <x:v>SHORT SENTENCE</x:v>
      </x:c>
      <x:c r="K810" s="24" t="n">
        <x:v>1558.36</x:v>
      </x:c>
      <x:c r="L810" s="25" t="e">
        <x:f>HYPERLINK("https://item.taobao.com/item.htm?id=920503373878","打开商品")</x:f>
        <x:v>HYPERLINK is not implemented. linkLocation=https://item.taobao.com/item.htm?id=920503373878, friendlyName=打开商品</x:v>
      </x:c>
      <x:c r="M810" s="25" t="e">
        <x:f>HYPERLINK("https://data.zhiyitech.cn/itemDetail/overview/base?itemId=920503373878","打开知衣")</x:f>
        <x:v>HYPERLINK is not implemented. linkLocation=https://data.zhiyitech.cn/itemDetail/overview/base?itemId=920503373878, friendlyName=打开知衣</x:v>
      </x:c>
      <x:c r="N810" s="25" t="e">
        <x:f>HYPERLINK("https://img.alicdn.com/bao/uploaded/i3/3711323064/O1CN01ej3z2J1YVMbYFkr7i_!!4611686018427382712-0-item_pic.jpg","查看主图")</x:f>
        <x:v>HYPERLINK is not implemented. linkLocation=https://img.alicdn.com/bao/uploaded/i3/3711323064/O1CN01ej3z2J1YVMbYFkr7i_!!4611686018427382712-0-item_pic.jpg, friendlyName=查看主图</x:v>
      </x:c>
      <x:c r="O810" s="9" t="str">
        <x:v>标题及既有类目语义复核；SHORT SENTENCE短句夏日胶囊系列设计师款碎花拼布半身裙明星同款；原类目及标题已能确认半身裙；展示使用已知大类，未知裙长下沉到结构字段，不强猜长短。</x:v>
      </x:c>
      <x:c r="P810" s="9" t="str">
        <x:v>普通男女装</x:v>
      </x:c>
      <x:c r="Q810" s="9" t="str">
        <x:v>W_SKIRTS_AVGPAID_1500_1600_ANNUAL2026.xlsx</x:v>
      </x:c>
      <x:c r="R810" s="9" t="str">
        <x:v>默认</x:v>
      </x:c>
      <x:c r="S810" s="9" t="n">
        <x:v>238</x:v>
      </x:c>
      <x:c r="T810" s="9" t="str">
        <x:v>deede8b56943df4f914be45dba170f12e69064023d6ef0e88dbde1764f6ba23e</x:v>
      </x:c>
      <x:c r="U810" s="9" t="str">
        <x:v>W_SKIRTS_AVGPAID_1500_1600_ANNUAL2026</x:v>
      </x:c>
      <x:c r="V810" s="9" t="str">
        <x:v>W_SKIRTS_AVGPAID_1500_1600_ANNUAL2026.xlsx / 默认 / 第238行 / SHA256 deede8b56943df4f914be45dba170f12e69064023d6ef0e88dbde1764f6ba23e</x:v>
      </x:c>
    </x:row>
    <x:row r="811" ht="58" customHeight="1">
      <x:c r="A811" s="23" t="str">
        <x:v>929635871812</x:v>
      </x:c>
      <x:c r="B811" s="22"/>
      <x:c r="C811" s="22"/>
      <x:c r="D811" s="22"/>
      <x:c r="E811" s="9" t="str">
        <x:v>裙长未明确</x:v>
      </x:c>
      <x:c r="F811" s="9" t="str">
        <x:v>裙装</x:v>
      </x:c>
      <x:c r="G811" s="9" t="str">
        <x:v>半身裙</x:v>
      </x:c>
      <x:c r="H811" s="9" t="str">
        <x:v>女</x:v>
      </x:c>
      <x:c r="I811" s="9" t="str">
        <x:v>SHORT SENTENCE短句夏日胶囊系列设计师款钩针格纹半裙博主同款</x:v>
      </x:c>
      <x:c r="J811" s="9" t="str">
        <x:v>SHORT SENTENCE</x:v>
      </x:c>
      <x:c r="K811" s="24" t="n">
        <x:v>1742.48</x:v>
      </x:c>
      <x:c r="L811" s="25" t="e">
        <x:f>HYPERLINK("https://item.taobao.com/item.htm?id=929635871812","打开商品")</x:f>
        <x:v>HYPERLINK is not implemented. linkLocation=https://item.taobao.com/item.htm?id=929635871812, friendlyName=打开商品</x:v>
      </x:c>
      <x:c r="M811" s="25" t="e">
        <x:f>HYPERLINK("https://data.zhiyitech.cn/itemDetail/overview/base?itemId=929635871812","打开知衣")</x:f>
        <x:v>HYPERLINK is not implemented. linkLocation=https://data.zhiyitech.cn/itemDetail/overview/base?itemId=929635871812, friendlyName=打开知衣</x:v>
      </x:c>
      <x:c r="N811" s="25" t="e">
        <x:f>HYPERLINK("https://img.alicdn.com/bao/uploaded/i3/3711323064/O1CN01BoHkcZ1YVMbYVev2w_!!4611686018427382712-0-item_pic.jpg","查看主图")</x:f>
        <x:v>HYPERLINK is not implemented. linkLocation=https://img.alicdn.com/bao/uploaded/i3/3711323064/O1CN01BoHkcZ1YVMbYVev2w_!!4611686018427382712-0-item_pic.jpg, friendlyName=查看主图</x:v>
      </x:c>
      <x:c r="O811" s="9" t="str">
        <x:v>标题及既有类目语义复核；SHORT SENTENCE短句夏日胶囊系列设计师款钩针格纹半裙博主同款；原类目及标题已能确认半身裙；展示使用已知大类，未知裙长下沉到结构字段，不强猜长短。</x:v>
      </x:c>
      <x:c r="P811" s="9" t="str">
        <x:v>普通男女装</x:v>
      </x:c>
      <x:c r="Q811" s="9" t="str">
        <x:v>W_SKIRTS_AVGPAID_1700_1800_ANNUAL2026.xlsx</x:v>
      </x:c>
      <x:c r="R811" s="9" t="str">
        <x:v>默认</x:v>
      </x:c>
      <x:c r="S811" s="9" t="n">
        <x:v>187</x:v>
      </x:c>
      <x:c r="T811" s="9" t="str">
        <x:v>c25ed77c53c7c5cfcf728778a0e9b297d8689503f62756a939cbd534ca9b587a</x:v>
      </x:c>
      <x:c r="U811" s="9" t="str">
        <x:v>W_SKIRTS_AVGPAID_1700_1800_ANNUAL2026</x:v>
      </x:c>
      <x:c r="V811" s="9" t="str">
        <x:v>W_SKIRTS_AVGPAID_1700_1800_ANNUAL2026.xlsx / 默认 / 第187行 / SHA256 c25ed77c53c7c5cfcf728778a0e9b297d8689503f62756a939cbd534ca9b587a</x:v>
      </x:c>
    </x:row>
    <x:row r="812" ht="58" customHeight="1">
      <x:c r="A812" s="23" t="str">
        <x:v>977321334506</x:v>
      </x:c>
      <x:c r="B812" s="22"/>
      <x:c r="C812" s="22"/>
      <x:c r="D812" s="22"/>
      <x:c r="E812" s="9" t="str">
        <x:v>裙长未明确</x:v>
      </x:c>
      <x:c r="F812" s="9" t="str">
        <x:v>裙装</x:v>
      </x:c>
      <x:c r="G812" s="9" t="str">
        <x:v>半身裙</x:v>
      </x:c>
      <x:c r="H812" s="9" t="str">
        <x:v>女</x:v>
      </x:c>
      <x:c r="I812" s="9" t="str">
        <x:v>SHORT SENTENCE短句设计师款松紧腰厚款直筒半裙冬裙</x:v>
      </x:c>
      <x:c r="J812" s="9" t="str">
        <x:v>SHORT SENTENCE</x:v>
      </x:c>
      <x:c r="K812" s="24" t="n">
        <x:v>1539.08</x:v>
      </x:c>
      <x:c r="L812" s="25" t="e">
        <x:f>HYPERLINK("https://item.taobao.com/item.htm?id=977321334506","打开商品")</x:f>
        <x:v>HYPERLINK is not implemented. linkLocation=https://item.taobao.com/item.htm?id=977321334506, friendlyName=打开商品</x:v>
      </x:c>
      <x:c r="M812" s="25" t="e">
        <x:f>HYPERLINK("https://data.zhiyitech.cn/itemDetail/overview/base?itemId=977321334506","打开知衣")</x:f>
        <x:v>HYPERLINK is not implemented. linkLocation=https://data.zhiyitech.cn/itemDetail/overview/base?itemId=977321334506, friendlyName=打开知衣</x:v>
      </x:c>
      <x:c r="N812" s="25" t="e">
        <x:f>HYPERLINK("https://img.alicdn.com/bao/uploaded/i1/3711323064/O1CN013hT9zN1YVMekQTMMH_!!4611686018427382712-0-item_pic.jpg","查看主图")</x:f>
        <x:v>HYPERLINK is not implemented. linkLocation=https://img.alicdn.com/bao/uploaded/i1/3711323064/O1CN013hT9zN1YVMekQTMMH_!!4611686018427382712-0-item_pic.jpg, friendlyName=查看主图</x:v>
      </x:c>
      <x:c r="O812" s="9" t="str">
        <x:v>标题及既有类目语义复核；SHORT SENTENCE短句设计师款松紧腰厚款直筒半裙冬裙；原类目及标题已能确认半身裙；展示使用已知大类，未知裙长下沉到结构字段，不强猜长短。</x:v>
      </x:c>
      <x:c r="P812" s="9" t="str">
        <x:v>普通男女装</x:v>
      </x:c>
      <x:c r="Q812" s="9" t="str">
        <x:v>W_SKIRTS_AVGPAID_1500_1600_ANNUAL2026.xlsx</x:v>
      </x:c>
      <x:c r="R812" s="9" t="str">
        <x:v>默认</x:v>
      </x:c>
      <x:c r="S812" s="9" t="n">
        <x:v>19</x:v>
      </x:c>
      <x:c r="T812" s="9" t="str">
        <x:v>deede8b56943df4f914be45dba170f12e69064023d6ef0e88dbde1764f6ba23e</x:v>
      </x:c>
      <x:c r="U812" s="9" t="str">
        <x:v>W_SKIRTS_AVGPAID_1500_1600_ANNUAL2026</x:v>
      </x:c>
      <x:c r="V812" s="9" t="str">
        <x:v>W_SKIRTS_AVGPAID_1500_1600_ANNUAL2026.xlsx / 默认 / 第19行 / SHA256 deede8b56943df4f914be45dba170f12e69064023d6ef0e88dbde1764f6ba23e</x:v>
      </x:c>
    </x:row>
    <x:row r="813" ht="58" customHeight="1">
      <x:c r="A813" s="23" t="str">
        <x:v>1018216539151</x:v>
      </x:c>
      <x:c r="B813" s="22"/>
      <x:c r="C813" s="22"/>
      <x:c r="D813" s="22"/>
      <x:c r="E813" s="9" t="str">
        <x:v>裙长未明确</x:v>
      </x:c>
      <x:c r="F813" s="9" t="str">
        <x:v>裙装</x:v>
      </x:c>
      <x:c r="G813" s="9" t="str">
        <x:v>半身裙</x:v>
      </x:c>
      <x:c r="H813" s="9" t="str">
        <x:v>女</x:v>
      </x:c>
      <x:c r="I813" s="9" t="str">
        <x:v>戚砚笛同款 SHRO ENRO26夏季新款高腰镂空法式蕾丝拼接雪纺长半裙</x:v>
      </x:c>
      <x:c r="J813" s="9" t="str">
        <x:v>SHRO ENRO</x:v>
      </x:c>
      <x:c r="K813" s="24" t="n">
        <x:v>1397.5</x:v>
      </x:c>
      <x:c r="L813" s="25" t="e">
        <x:f>HYPERLINK("https://item.taobao.com/item.htm?id=1018216539151","打开商品")</x:f>
        <x:v>HYPERLINK is not implemented. linkLocation=https://item.taobao.com/item.htm?id=1018216539151, friendlyName=打开商品</x:v>
      </x:c>
      <x:c r="M813" s="25" t="e">
        <x:f>HYPERLINK("https://data.zhiyitech.cn/itemDetail/overview/base?itemId=1018216539151","打开知衣")</x:f>
        <x:v>HYPERLINK is not implemented. linkLocation=https://data.zhiyitech.cn/itemDetail/overview/base?itemId=1018216539151, friendlyName=打开知衣</x:v>
      </x:c>
      <x:c r="N813" s="25" t="e">
        <x:f>HYPERLINK("https://img.alicdn.com/bao/uploaded/i3/2218070388513/O1CN01ifLflw2Cl0pV5okPR_!!4611686018427383585-0-item_pic.jpg","查看主图")</x:f>
        <x:v>HYPERLINK is not implemented. linkLocation=https://img.alicdn.com/bao/uploaded/i3/2218070388513/O1CN01ifLflw2Cl0pV5okPR_!!4611686018427383585-0-item_pic.jpg, friendlyName=查看主图</x:v>
      </x:c>
      <x:c r="O813" s="9" t="str">
        <x:v>标题及既有类目语义复核；戚砚笛同款 SHRO ENRO26夏季新款高腰镂空法式蕾丝拼接雪纺长半裙；原类目及标题已能确认半身裙；展示使用已知大类，未知裙长下沉到结构字段，不强猜长短。</x:v>
      </x:c>
      <x:c r="P813" s="9" t="str">
        <x:v>普通男女装</x:v>
      </x:c>
      <x:c r="Q813" s="9" t="str">
        <x:v>W_SKIRTS_AVGPAID_1300_1400_ANNUAL2026.xlsx</x:v>
      </x:c>
      <x:c r="R813" s="9" t="str">
        <x:v>默认</x:v>
      </x:c>
      <x:c r="S813" s="9" t="n">
        <x:v>101</x:v>
      </x:c>
      <x:c r="T813" s="9" t="str">
        <x:v>bd4dae1e08e9eca7ddd0669235bf59107cdc418b9c2898fc16f36a7ab5748692</x:v>
      </x:c>
      <x:c r="U813" s="9" t="str">
        <x:v>W_SKIRTS_AVGPAID_1300_1400_ANNUAL2026</x:v>
      </x:c>
      <x:c r="V813" s="9" t="str">
        <x:v>W_SKIRTS_AVGPAID_1300_1400_ANNUAL2026.xlsx / 默认 / 第101行 / SHA256 bd4dae1e08e9eca7ddd0669235bf59107cdc418b9c2898fc16f36a7ab5748692</x:v>
      </x:c>
    </x:row>
    <x:row r="814" ht="58" customHeight="1">
      <x:c r="A814" s="23" t="str">
        <x:v>765859149388</x:v>
      </x:c>
      <x:c r="B814" s="22"/>
      <x:c r="C814" s="22"/>
      <x:c r="D814" s="22"/>
      <x:c r="E814" s="9" t="str">
        <x:v>裙长未明确</x:v>
      </x:c>
      <x:c r="F814" s="9" t="str">
        <x:v>裙装</x:v>
      </x:c>
      <x:c r="G814" s="9" t="str">
        <x:v>半身裙</x:v>
      </x:c>
      <x:c r="H814" s="9" t="str">
        <x:v>女</x:v>
      </x:c>
      <x:c r="I814" s="9" t="str">
        <x:v>【SALE】【SHUSHUTONG】女款通勤优雅气质时尚裙边装饰宽褶半身裙</x:v>
      </x:c>
      <x:c r="J814" s="9" t="str">
        <x:v>SHUSHU TONG</x:v>
      </x:c>
      <x:c r="K814" s="24" t="n">
        <x:v>1352.96</x:v>
      </x:c>
      <x:c r="L814" s="25" t="e">
        <x:f>HYPERLINK("https://item.taobao.com/item.htm?id=765859149388","打开商品")</x:f>
        <x:v>HYPERLINK is not implemented. linkLocation=https://item.taobao.com/item.htm?id=765859149388, friendlyName=打开商品</x:v>
      </x:c>
      <x:c r="M814" s="25" t="e">
        <x:f>HYPERLINK("https://data.zhiyitech.cn/itemDetail/overview/base?itemId=765859149388","打开知衣")</x:f>
        <x:v>HYPERLINK is not implemented. linkLocation=https://data.zhiyitech.cn/itemDetail/overview/base?itemId=765859149388, friendlyName=打开知衣</x:v>
      </x:c>
      <x:c r="N814" s="25" t="e">
        <x:f>HYPERLINK("https://img.alicdn.com/bao/uploaded/i4/2202381426207/O1CN01ru2RwmLsNSH1chua_!!2202381426207.png","查看主图")</x:f>
        <x:v>HYPERLINK is not implemented. linkLocation=https://img.alicdn.com/bao/uploaded/i4/2202381426207/O1CN01ru2RwmLsNSH1chua_!!2202381426207.png, friendlyName=查看主图</x:v>
      </x:c>
      <x:c r="O814" s="9" t="str">
        <x:v>标题及既有类目语义复核；【SALE】【SHUSHUTONG】女款通勤优雅气质时尚裙边装饰宽褶半身裙；原类目及标题已能确认半身裙；展示使用已知大类，未知裙长下沉到结构字段，不强猜长短。</x:v>
      </x:c>
      <x:c r="P814" s="9" t="str">
        <x:v>普通男女装</x:v>
      </x:c>
      <x:c r="Q814" s="9" t="str">
        <x:v>W_SKIRTS_AVGPAID_1300_1400_ANNUAL2026.xlsx</x:v>
      </x:c>
      <x:c r="R814" s="9" t="str">
        <x:v>默认</x:v>
      </x:c>
      <x:c r="S814" s="9" t="n">
        <x:v>231</x:v>
      </x:c>
      <x:c r="T814" s="9" t="str">
        <x:v>bd4dae1e08e9eca7ddd0669235bf59107cdc418b9c2898fc16f36a7ab5748692</x:v>
      </x:c>
      <x:c r="U814" s="9" t="str">
        <x:v>W_SKIRTS_AVGPAID_1300_1400_ANNUAL2026</x:v>
      </x:c>
      <x:c r="V814" s="9" t="str">
        <x:v>W_SKIRTS_AVGPAID_1300_1400_ANNUAL2026.xlsx / 默认 / 第231行 / SHA256 bd4dae1e08e9eca7ddd0669235bf59107cdc418b9c2898fc16f36a7ab5748692</x:v>
      </x:c>
    </x:row>
    <x:row r="815" ht="58" customHeight="1">
      <x:c r="A815" s="23" t="str">
        <x:v>798503600971</x:v>
      </x:c>
      <x:c r="B815" s="22"/>
      <x:c r="C815" s="22"/>
      <x:c r="D815" s="22"/>
      <x:c r="E815" s="9" t="str">
        <x:v>裙长未明确</x:v>
      </x:c>
      <x:c r="F815" s="9" t="str">
        <x:v>裙装</x:v>
      </x:c>
      <x:c r="G815" s="9" t="str">
        <x:v>半身裙</x:v>
      </x:c>
      <x:c r="H815" s="9" t="str">
        <x:v>女</x:v>
      </x:c>
      <x:c r="I815" s="9" t="str">
        <x:v>【SHUSHUTONG】女款精致设计感优雅可爱气质薄纱短半身裙</x:v>
      </x:c>
      <x:c r="J815" s="9" t="str">
        <x:v>SHUSHU TONG</x:v>
      </x:c>
      <x:c r="K815" s="24" t="n">
        <x:v>1779.53</x:v>
      </x:c>
      <x:c r="L815" s="25" t="e">
        <x:f>HYPERLINK("https://item.taobao.com/item.htm?id=798503600971","打开商品")</x:f>
        <x:v>HYPERLINK is not implemented. linkLocation=https://item.taobao.com/item.htm?id=798503600971, friendlyName=打开商品</x:v>
      </x:c>
      <x:c r="M815" s="25" t="e">
        <x:f>HYPERLINK("https://data.zhiyitech.cn/itemDetail/overview/base?itemId=798503600971","打开知衣")</x:f>
        <x:v>HYPERLINK is not implemented. linkLocation=https://data.zhiyitech.cn/itemDetail/overview/base?itemId=798503600971, friendlyName=打开知衣</x:v>
      </x:c>
      <x:c r="N815" s="25" t="e">
        <x:f>HYPERLINK("https://img.alicdn.com/bao/uploaded/i4/2202381426207/O1CN01Q9ekReCA6vE1chua_!!2202381426207.png","查看主图")</x:f>
        <x:v>HYPERLINK is not implemented. linkLocation=https://img.alicdn.com/bao/uploaded/i4/2202381426207/O1CN01Q9ekReCA6vE1chua_!!2202381426207.png, friendlyName=查看主图</x:v>
      </x:c>
      <x:c r="O815" s="9" t="str">
        <x:v>标题及既有类目语义复核；【SHUSHUTONG】女款精致设计感优雅可爱气质薄纱短半身裙；原类目及标题已能确认半身裙；展示使用已知大类，未知裙长下沉到结构字段，不强猜长短。</x:v>
      </x:c>
      <x:c r="P815" s="9" t="str">
        <x:v>普通男女装</x:v>
      </x:c>
      <x:c r="Q815" s="9" t="str">
        <x:v>W_SKIRTS_AVGPAID_1700_1800_ANNUAL2026.xlsx</x:v>
      </x:c>
      <x:c r="R815" s="9" t="str">
        <x:v>默认</x:v>
      </x:c>
      <x:c r="S815" s="9" t="n">
        <x:v>196</x:v>
      </x:c>
      <x:c r="T815" s="9" t="str">
        <x:v>c25ed77c53c7c5cfcf728778a0e9b297d8689503f62756a939cbd534ca9b587a</x:v>
      </x:c>
      <x:c r="U815" s="9" t="str">
        <x:v>W_SKIRTS_AVGPAID_1700_1800_ANNUAL2026</x:v>
      </x:c>
      <x:c r="V815" s="9" t="str">
        <x:v>W_SKIRTS_AVGPAID_1700_1800_ANNUAL2026.xlsx / 默认 / 第196行 / SHA256 c25ed77c53c7c5cfcf728778a0e9b297d8689503f62756a939cbd534ca9b587a</x:v>
      </x:c>
    </x:row>
    <x:row r="816" ht="58" customHeight="1">
      <x:c r="A816" s="23" t="str">
        <x:v>848973818515</x:v>
      </x:c>
      <x:c r="B816" s="22"/>
      <x:c r="C816" s="22"/>
      <x:c r="D816" s="22"/>
      <x:c r="E816" s="9" t="str">
        <x:v>裙长未明确</x:v>
      </x:c>
      <x:c r="F816" s="9" t="str">
        <x:v>裙装</x:v>
      </x:c>
      <x:c r="G816" s="9" t="str">
        <x:v>半身裙</x:v>
      </x:c>
      <x:c r="H816" s="9" t="str">
        <x:v>女</x:v>
      </x:c>
      <x:c r="I816" s="9" t="str">
        <x:v>【SALE】【SHUSHUTONG】精致时尚优雅设计师款珠片花装饰宽褶半裙</x:v>
      </x:c>
      <x:c r="J816" s="9" t="str">
        <x:v>SHUSHU TONG</x:v>
      </x:c>
      <x:c r="K816" s="24" t="n">
        <x:v>1795.54</x:v>
      </x:c>
      <x:c r="L816" s="25" t="e">
        <x:f>HYPERLINK("https://item.taobao.com/item.htm?id=848973818515","打开商品")</x:f>
        <x:v>HYPERLINK is not implemented. linkLocation=https://item.taobao.com/item.htm?id=848973818515, friendlyName=打开商品</x:v>
      </x:c>
      <x:c r="M816" s="25" t="e">
        <x:f>HYPERLINK("https://data.zhiyitech.cn/itemDetail/overview/base?itemId=848973818515","打开知衣")</x:f>
        <x:v>HYPERLINK is not implemented. linkLocation=https://data.zhiyitech.cn/itemDetail/overview/base?itemId=848973818515, friendlyName=打开知衣</x:v>
      </x:c>
      <x:c r="N816" s="25" t="e">
        <x:f>HYPERLINK("https://img.alicdn.com/bao/uploaded/i1/2202381426207/O1CN01r4CYAk1virWieQ81Q_!!2202381426207.png","查看主图")</x:f>
        <x:v>HYPERLINK is not implemented. linkLocation=https://img.alicdn.com/bao/uploaded/i1/2202381426207/O1CN01r4CYAk1virWieQ81Q_!!2202381426207.png, friendlyName=查看主图</x:v>
      </x:c>
      <x:c r="O816" s="9" t="str">
        <x:v>标题及既有类目语义复核；【SALE】【SHUSHUTONG】精致时尚优雅设计师款珠片花装饰宽褶半裙；原类目及标题已能确认半身裙；展示使用已知大类，未知裙长下沉到结构字段，不强猜长短。</x:v>
      </x:c>
      <x:c r="P816" s="9" t="str">
        <x:v>普通男女装</x:v>
      </x:c>
      <x:c r="Q816" s="9" t="str">
        <x:v>W_SKIRTS_AVGPAID_1700_1800_ANNUAL2026.xlsx</x:v>
      </x:c>
      <x:c r="R816" s="9" t="str">
        <x:v>默认</x:v>
      </x:c>
      <x:c r="S816" s="9" t="n">
        <x:v>437</x:v>
      </x:c>
      <x:c r="T816" s="9" t="str">
        <x:v>c25ed77c53c7c5cfcf728778a0e9b297d8689503f62756a939cbd534ca9b587a</x:v>
      </x:c>
      <x:c r="U816" s="9" t="str">
        <x:v>W_SKIRTS_AVGPAID_1700_1800_ANNUAL2026</x:v>
      </x:c>
      <x:c r="V816" s="9" t="str">
        <x:v>W_SKIRTS_AVGPAID_1700_1800_ANNUAL2026.xlsx / 默认 / 第437行 / SHA256 c25ed77c53c7c5cfcf728778a0e9b297d8689503f62756a939cbd534ca9b587a</x:v>
      </x:c>
    </x:row>
    <x:row r="817" ht="58" customHeight="1">
      <x:c r="A817" s="23" t="str">
        <x:v>887590614240</x:v>
      </x:c>
      <x:c r="B817" s="22"/>
      <x:c r="C817" s="22"/>
      <x:c r="D817" s="22"/>
      <x:c r="E817" s="9" t="str">
        <x:v>裙长未明确</x:v>
      </x:c>
      <x:c r="F817" s="9" t="str">
        <x:v>裙装</x:v>
      </x:c>
      <x:c r="G817" s="9" t="str">
        <x:v>半身裙</x:v>
      </x:c>
      <x:c r="H817" s="9" t="str">
        <x:v>女</x:v>
      </x:c>
      <x:c r="I817" s="9" t="str">
        <x:v>SHUSHUTONG腰饰花边半裙</x:v>
      </x:c>
      <x:c r="J817" s="9" t="str">
        <x:v>SHUSHU TONG</x:v>
      </x:c>
      <x:c r="K817" s="24" t="n">
        <x:v>1590.51</x:v>
      </x:c>
      <x:c r="L817" s="25" t="e">
        <x:f>HYPERLINK("https://item.taobao.com/item.htm?id=887590614240","打开商品")</x:f>
        <x:v>HYPERLINK is not implemented. linkLocation=https://item.taobao.com/item.htm?id=887590614240, friendlyName=打开商品</x:v>
      </x:c>
      <x:c r="M817" s="25" t="e">
        <x:f>HYPERLINK("https://data.zhiyitech.cn/itemDetail/overview/base?itemId=887590614240","打开知衣")</x:f>
        <x:v>HYPERLINK is not implemented. linkLocation=https://data.zhiyitech.cn/itemDetail/overview/base?itemId=887590614240, friendlyName=打开知衣</x:v>
      </x:c>
      <x:c r="N817" s="25" t="e">
        <x:f>HYPERLINK("https://img.alicdn.com/bao/uploaded/i1/2202381426207/O1CN01OA88e3bLqRJ1chua_!!2202381426207.jpg","查看主图")</x:f>
        <x:v>HYPERLINK is not implemented. linkLocation=https://img.alicdn.com/bao/uploaded/i1/2202381426207/O1CN01OA88e3bLqRJ1chua_!!2202381426207.jpg, friendlyName=查看主图</x:v>
      </x:c>
      <x:c r="O817" s="9" t="str">
        <x:v>标题及既有类目语义复核；SHUSHUTONG腰饰花边半裙；原类目及标题已能确认半身裙；展示使用已知大类，未知裙长下沉到结构字段，不强猜长短。</x:v>
      </x:c>
      <x:c r="P817" s="9" t="str">
        <x:v>普通男女装</x:v>
      </x:c>
      <x:c r="Q817" s="9" t="str">
        <x:v>W_SKIRTS_AVGPAID_1500_1600_ANNUAL2026.xlsx</x:v>
      </x:c>
      <x:c r="R817" s="9" t="str">
        <x:v>默认</x:v>
      </x:c>
      <x:c r="S817" s="9" t="n">
        <x:v>332</x:v>
      </x:c>
      <x:c r="T817" s="9" t="str">
        <x:v>deede8b56943df4f914be45dba170f12e69064023d6ef0e88dbde1764f6ba23e</x:v>
      </x:c>
      <x:c r="U817" s="9" t="str">
        <x:v>W_SKIRTS_AVGPAID_1500_1600_ANNUAL2026</x:v>
      </x:c>
      <x:c r="V817" s="9" t="str">
        <x:v>W_SKIRTS_AVGPAID_1500_1600_ANNUAL2026.xlsx / 默认 / 第332行 / SHA256 deede8b56943df4f914be45dba170f12e69064023d6ef0e88dbde1764f6ba23e</x:v>
      </x:c>
    </x:row>
    <x:row r="818" ht="58" customHeight="1">
      <x:c r="A818" s="23" t="str">
        <x:v>960821374562</x:v>
      </x:c>
      <x:c r="B818" s="22"/>
      <x:c r="C818" s="22"/>
      <x:c r="D818" s="22"/>
      <x:c r="E818" s="9" t="str">
        <x:v>裙长未明确</x:v>
      </x:c>
      <x:c r="F818" s="9" t="str">
        <x:v>裙装</x:v>
      </x:c>
      <x:c r="G818" s="9" t="str">
        <x:v>半身裙</x:v>
      </x:c>
      <x:c r="H818" s="9" t="str">
        <x:v>女</x:v>
      </x:c>
      <x:c r="I818" s="9" t="str">
        <x:v>SHUSHUTONG斜腰带袢直筒半裙</x:v>
      </x:c>
      <x:c r="J818" s="9" t="str">
        <x:v>SHUSHU TONG</x:v>
      </x:c>
      <x:c r="K818" s="24" t="n">
        <x:v>1707.38</x:v>
      </x:c>
      <x:c r="L818" s="25" t="e">
        <x:f>HYPERLINK("https://item.taobao.com/item.htm?id=960821374562","打开商品")</x:f>
        <x:v>HYPERLINK is not implemented. linkLocation=https://item.taobao.com/item.htm?id=960821374562, friendlyName=打开商品</x:v>
      </x:c>
      <x:c r="M818" s="25" t="e">
        <x:f>HYPERLINK("https://data.zhiyitech.cn/itemDetail/overview/base?itemId=960821374562","打开知衣")</x:f>
        <x:v>HYPERLINK is not implemented. linkLocation=https://data.zhiyitech.cn/itemDetail/overview/base?itemId=960821374562, friendlyName=打开知衣</x:v>
      </x:c>
      <x:c r="N818" s="25" t="e">
        <x:f>HYPERLINK("https://img.alicdn.com/bao/uploaded/i2/2202381426207/O1CN01OfiDcwIFhgB2vH2e_!!2202381426207.jpg","查看主图")</x:f>
        <x:v>HYPERLINK is not implemented. linkLocation=https://img.alicdn.com/bao/uploaded/i2/2202381426207/O1CN01OfiDcwIFhgB2vH2e_!!2202381426207.jpg, friendlyName=查看主图</x:v>
      </x:c>
      <x:c r="O818" s="9" t="str">
        <x:v>标题及既有类目语义复核；SHUSHUTONG斜腰带袢直筒半裙；原类目及标题已能确认半身裙；展示使用已知大类，未知裙长下沉到结构字段，不强猜长短。</x:v>
      </x:c>
      <x:c r="P818" s="9" t="str">
        <x:v>普通男女装</x:v>
      </x:c>
      <x:c r="Q818" s="9" t="str">
        <x:v>W_SKIRTS_AVGPAID_1700_1800_ANNUAL2026.xlsx</x:v>
      </x:c>
      <x:c r="R818" s="9" t="str">
        <x:v>默认</x:v>
      </x:c>
      <x:c r="S818" s="9" t="n">
        <x:v>84</x:v>
      </x:c>
      <x:c r="T818" s="9" t="str">
        <x:v>c25ed77c53c7c5cfcf728778a0e9b297d8689503f62756a939cbd534ca9b587a</x:v>
      </x:c>
      <x:c r="U818" s="9" t="str">
        <x:v>W_SKIRTS_AVGPAID_1700_1800_ANNUAL2026</x:v>
      </x:c>
      <x:c r="V818" s="9" t="str">
        <x:v>W_SKIRTS_AVGPAID_1700_1800_ANNUAL2026.xlsx / 默认 / 第84行 / SHA256 c25ed77c53c7c5cfcf728778a0e9b297d8689503f62756a939cbd534ca9b587a</x:v>
      </x:c>
    </x:row>
    <x:row r="819" ht="58" customHeight="1">
      <x:c r="A819" s="23" t="str">
        <x:v>964988969575</x:v>
      </x:c>
      <x:c r="B819" s="22"/>
      <x:c r="C819" s="22"/>
      <x:c r="D819" s="22"/>
      <x:c r="E819" s="9" t="str">
        <x:v>裙长未明确</x:v>
      </x:c>
      <x:c r="F819" s="9" t="str">
        <x:v>裙装</x:v>
      </x:c>
      <x:c r="G819" s="9" t="str">
        <x:v>半身裙</x:v>
      </x:c>
      <x:c r="H819" s="9" t="str">
        <x:v>女</x:v>
      </x:c>
      <x:c r="I819" s="9" t="str">
        <x:v>【SHUSHUTONG】蕾虎优雅简约斜腰带袢直筒半裙设计师春夏女装裙</x:v>
      </x:c>
      <x:c r="J819" s="9" t="str">
        <x:v>SHUSHU TONG</x:v>
      </x:c>
      <x:c r="K819" s="24" t="n">
        <x:v>1597.41</x:v>
      </x:c>
      <x:c r="L819" s="25" t="e">
        <x:f>HYPERLINK("https://item.taobao.com/item.htm?id=964988969575","打开商品")</x:f>
        <x:v>HYPERLINK is not implemented. linkLocation=https://item.taobao.com/item.htm?id=964988969575, friendlyName=打开商品</x:v>
      </x:c>
      <x:c r="M819" s="25" t="e">
        <x:f>HYPERLINK("https://data.zhiyitech.cn/itemDetail/overview/base?itemId=964988969575","打开知衣")</x:f>
        <x:v>HYPERLINK is not implemented. linkLocation=https://data.zhiyitech.cn/itemDetail/overview/base?itemId=964988969575, friendlyName=打开知衣</x:v>
      </x:c>
      <x:c r="N819" s="25" t="e">
        <x:f>HYPERLINK("https://img.alicdn.com/bao/uploaded/i1/3407478687/O1CN01SOywKAX4M1D1chua_!!3407478687.jpg","查看主图")</x:f>
        <x:v>HYPERLINK is not implemented. linkLocation=https://img.alicdn.com/bao/uploaded/i1/3407478687/O1CN01SOywKAX4M1D1chua_!!3407478687.jpg, friendlyName=查看主图</x:v>
      </x:c>
      <x:c r="O819" s="9" t="str">
        <x:v>标题及既有类目语义复核；【SHUSHUTONG】蕾虎优雅简约斜腰带袢直筒半裙设计师春夏女装裙；原类目及标题已能确认半身裙；展示使用已知大类，未知裙长下沉到结构字段，不强猜长短。</x:v>
      </x:c>
      <x:c r="P819" s="9" t="str">
        <x:v>普通男女装</x:v>
      </x:c>
      <x:c r="Q819" s="9" t="str">
        <x:v>W_SKIRTS_AVGPAID_1500_1600_ANNUAL2026.xlsx</x:v>
      </x:c>
      <x:c r="R819" s="9" t="str">
        <x:v>默认</x:v>
      </x:c>
      <x:c r="S819" s="9" t="n">
        <x:v>336</x:v>
      </x:c>
      <x:c r="T819" s="9" t="str">
        <x:v>deede8b56943df4f914be45dba170f12e69064023d6ef0e88dbde1764f6ba23e</x:v>
      </x:c>
      <x:c r="U819" s="9" t="str">
        <x:v>W_SKIRTS_AVGPAID_1500_1600_ANNUAL2026</x:v>
      </x:c>
      <x:c r="V819" s="9" t="str">
        <x:v>W_SKIRTS_AVGPAID_1500_1600_ANNUAL2026.xlsx / 默认 / 第336行 / SHA256 deede8b56943df4f914be45dba170f12e69064023d6ef0e88dbde1764f6ba23e</x:v>
      </x:c>
    </x:row>
    <x:row r="820" ht="58" customHeight="1">
      <x:c r="A820" s="23" t="str">
        <x:v>968265272354</x:v>
      </x:c>
      <x:c r="B820" s="22"/>
      <x:c r="C820" s="22"/>
      <x:c r="D820" s="22"/>
      <x:c r="E820" s="9" t="str">
        <x:v>裙长未明确</x:v>
      </x:c>
      <x:c r="F820" s="9" t="str">
        <x:v>裙装</x:v>
      </x:c>
      <x:c r="G820" s="9" t="str">
        <x:v>半身裙</x:v>
      </x:c>
      <x:c r="H820" s="9" t="str">
        <x:v>女</x:v>
      </x:c>
      <x:c r="I820" s="9" t="str">
        <x:v>【SHUSHUTONG】时尚通勤休闲感双排圆扣半身裙</x:v>
      </x:c>
      <x:c r="J820" s="9" t="str">
        <x:v>SHUSHU TONG</x:v>
      </x:c>
      <x:c r="K820" s="24" t="n">
        <x:v>1762.36</x:v>
      </x:c>
      <x:c r="L820" s="25" t="e">
        <x:f>HYPERLINK("https://item.taobao.com/item.htm?id=968265272354","打开商品")</x:f>
        <x:v>HYPERLINK is not implemented. linkLocation=https://item.taobao.com/item.htm?id=968265272354, friendlyName=打开商品</x:v>
      </x:c>
      <x:c r="M820" s="25" t="e">
        <x:f>HYPERLINK("https://data.zhiyitech.cn/itemDetail/overview/base?itemId=968265272354","打开知衣")</x:f>
        <x:v>HYPERLINK is not implemented. linkLocation=https://data.zhiyitech.cn/itemDetail/overview/base?itemId=968265272354, friendlyName=打开知衣</x:v>
      </x:c>
      <x:c r="N820" s="25" t="e">
        <x:f>HYPERLINK("https://img.alicdn.com/bao/uploaded/i4/2202381426207/O1CN01SLFnQ8ib52J2vH2e_!!2202381426207.jpg","查看主图")</x:f>
        <x:v>HYPERLINK is not implemented. linkLocation=https://img.alicdn.com/bao/uploaded/i4/2202381426207/O1CN01SLFnQ8ib52J2vH2e_!!2202381426207.jpg, friendlyName=查看主图</x:v>
      </x:c>
      <x:c r="O820" s="9" t="str">
        <x:v>标题及既有类目语义复核；【SHUSHUTONG】时尚通勤休闲感双排圆扣半身裙；原类目及标题已能确认半身裙；展示使用已知大类，未知裙长下沉到结构字段，不强猜长短。</x:v>
      </x:c>
      <x:c r="P820" s="9" t="str">
        <x:v>普通男女装</x:v>
      </x:c>
      <x:c r="Q820" s="9" t="str">
        <x:v>W_SKIRTS_AVGPAID_1700_1800_ANNUAL2026.xlsx</x:v>
      </x:c>
      <x:c r="R820" s="9" t="str">
        <x:v>默认</x:v>
      </x:c>
      <x:c r="S820" s="9" t="n">
        <x:v>369</x:v>
      </x:c>
      <x:c r="T820" s="9" t="str">
        <x:v>c25ed77c53c7c5cfcf728778a0e9b297d8689503f62756a939cbd534ca9b587a</x:v>
      </x:c>
      <x:c r="U820" s="9" t="str">
        <x:v>W_SKIRTS_AVGPAID_1700_1800_ANNUAL2026</x:v>
      </x:c>
      <x:c r="V820" s="9" t="str">
        <x:v>W_SKIRTS_AVGPAID_1700_1800_ANNUAL2026.xlsx / 默认 / 第369行 / SHA256 c25ed77c53c7c5cfcf728778a0e9b297d8689503f62756a939cbd534ca9b587a</x:v>
      </x:c>
    </x:row>
    <x:row r="821" ht="58" customHeight="1">
      <x:c r="A821" s="23" t="str">
        <x:v>969742695602</x:v>
      </x:c>
      <x:c r="B821" s="22"/>
      <x:c r="C821" s="22"/>
      <x:c r="D821" s="22"/>
      <x:c r="E821" s="9" t="str">
        <x:v>裙长未明确</x:v>
      </x:c>
      <x:c r="F821" s="9" t="str">
        <x:v>裙装</x:v>
      </x:c>
      <x:c r="G821" s="9" t="str">
        <x:v>半身裙</x:v>
      </x:c>
      <x:c r="H821" s="9" t="str">
        <x:v>女</x:v>
      </x:c>
      <x:c r="I821" s="9" t="str">
        <x:v>【SHUSHUTONG】女装设计感腰带装饰牛仔百褶半身裙</x:v>
      </x:c>
      <x:c r="J821" s="9" t="str">
        <x:v>SHUSHU TONG</x:v>
      </x:c>
      <x:c r="K821" s="24" t="n">
        <x:v>1793.8</x:v>
      </x:c>
      <x:c r="L821" s="25" t="e">
        <x:f>HYPERLINK("https://item.taobao.com/item.htm?id=969742695602","打开商品")</x:f>
        <x:v>HYPERLINK is not implemented. linkLocation=https://item.taobao.com/item.htm?id=969742695602, friendlyName=打开商品</x:v>
      </x:c>
      <x:c r="M821" s="25" t="e">
        <x:f>HYPERLINK("https://data.zhiyitech.cn/itemDetail/overview/base?itemId=969742695602","打开知衣")</x:f>
        <x:v>HYPERLINK is not implemented. linkLocation=https://data.zhiyitech.cn/itemDetail/overview/base?itemId=969742695602, friendlyName=打开知衣</x:v>
      </x:c>
      <x:c r="N821" s="25" t="e">
        <x:f>HYPERLINK("https://img.alicdn.com/bao/uploaded/i3/2202381426207/O1CN01Xqf09bOkajE2vH2e_!!2202381426207.png","查看主图")</x:f>
        <x:v>HYPERLINK is not implemented. linkLocation=https://img.alicdn.com/bao/uploaded/i3/2202381426207/O1CN01Xqf09bOkajE2vH2e_!!2202381426207.png, friendlyName=查看主图</x:v>
      </x:c>
      <x:c r="O821" s="9" t="str">
        <x:v>标题及既有类目语义复核；【SHUSHUTONG】女装设计感腰带装饰牛仔百褶半身裙；原类目及标题已能确认半身裙；展示使用已知大类，未知裙长下沉到结构字段，不强猜长短。</x:v>
      </x:c>
      <x:c r="P821" s="9" t="str">
        <x:v>普通男女装</x:v>
      </x:c>
      <x:c r="Q821" s="9" t="str">
        <x:v>W_SKIRTS_AVGPAID_1700_1800_ANNUAL2026.xlsx</x:v>
      </x:c>
      <x:c r="R821" s="9" t="str">
        <x:v>默认</x:v>
      </x:c>
      <x:c r="S821" s="9" t="n">
        <x:v>210</x:v>
      </x:c>
      <x:c r="T821" s="9" t="str">
        <x:v>c25ed77c53c7c5cfcf728778a0e9b297d8689503f62756a939cbd534ca9b587a</x:v>
      </x:c>
      <x:c r="U821" s="9" t="str">
        <x:v>W_SKIRTS_AVGPAID_1700_1800_ANNUAL2026</x:v>
      </x:c>
      <x:c r="V821" s="9" t="str">
        <x:v>W_SKIRTS_AVGPAID_1700_1800_ANNUAL2026.xlsx / 默认 / 第210行 / SHA256 c25ed77c53c7c5cfcf728778a0e9b297d8689503f62756a939cbd534ca9b587a</x:v>
      </x:c>
    </x:row>
    <x:row r="822" ht="58" customHeight="1">
      <x:c r="A822" s="23" t="str">
        <x:v>1044707430113</x:v>
      </x:c>
      <x:c r="B822" s="22"/>
      <x:c r="C822" s="22"/>
      <x:c r="D822" s="22"/>
      <x:c r="E822" s="9" t="str">
        <x:v>裙长未明确</x:v>
      </x:c>
      <x:c r="F822" s="9" t="str">
        <x:v>裙装</x:v>
      </x:c>
      <x:c r="G822" s="9" t="str">
        <x:v>半身裙</x:v>
      </x:c>
      <x:c r="H822" s="9" t="str">
        <x:v>女</x:v>
      </x:c>
      <x:c r="I822" s="9" t="str">
        <x:v>SIQIYOUNG欲望都市-优雅感蓬蓬网纱半裙 摩登量感多层</x:v>
      </x:c>
      <x:c r="J822" s="9" t="str">
        <x:v>SIQIYOUNG</x:v>
      </x:c>
      <x:c r="K822" s="24" t="n">
        <x:v>1379.29</x:v>
      </x:c>
      <x:c r="L822" s="25" t="e">
        <x:f>HYPERLINK("https://item.taobao.com/item.htm?id=1044707430113","打开商品")</x:f>
        <x:v>HYPERLINK is not implemented. linkLocation=https://item.taobao.com/item.htm?id=1044707430113, friendlyName=打开商品</x:v>
      </x:c>
      <x:c r="M822" s="25" t="e">
        <x:f>HYPERLINK("https://data.zhiyitech.cn/itemDetail/overview/base?itemId=1044707430113","打开知衣")</x:f>
        <x:v>HYPERLINK is not implemented. linkLocation=https://data.zhiyitech.cn/itemDetail/overview/base?itemId=1044707430113, friendlyName=打开知衣</x:v>
      </x:c>
      <x:c r="N822" s="25" t="e">
        <x:f>HYPERLINK("https://img.alicdn.com/bao/uploaded/i1/2217831595703/O1CN01Y1spTY1s01v2DW87z_!!4611686018427387575-2-item_pic.png","查看主图")</x:f>
        <x:v>HYPERLINK is not implemented. linkLocation=https://img.alicdn.com/bao/uploaded/i1/2217831595703/O1CN01Y1spTY1s01v2DW87z_!!4611686018427387575-2-item_pic.png, friendlyName=查看主图</x:v>
      </x:c>
      <x:c r="O822" s="9" t="str">
        <x:v>标题及既有类目语义复核；SIQIYOUNG欲望都市-优雅感蓬蓬网纱半裙 摩登量感多层；原类目及标题已能确认半身裙；展示使用已知大类，未知裙长下沉到结构字段，不强猜长短。</x:v>
      </x:c>
      <x:c r="P822" s="9" t="str">
        <x:v>普通男女装</x:v>
      </x:c>
      <x:c r="Q822" s="9" t="str">
        <x:v>W_SKIRTS_AVGPAID_1300_1400_ANNUAL2026.xlsx</x:v>
      </x:c>
      <x:c r="R822" s="9" t="str">
        <x:v>默认</x:v>
      </x:c>
      <x:c r="S822" s="9" t="n">
        <x:v>223</x:v>
      </x:c>
      <x:c r="T822" s="9" t="str">
        <x:v>bd4dae1e08e9eca7ddd0669235bf59107cdc418b9c2898fc16f36a7ab5748692</x:v>
      </x:c>
      <x:c r="U822" s="9" t="str">
        <x:v>W_SKIRTS_AVGPAID_1300_1400_ANNUAL2026</x:v>
      </x:c>
      <x:c r="V822" s="9" t="str">
        <x:v>W_SKIRTS_AVGPAID_1300_1400_ANNUAL2026.xlsx / 默认 / 第223行 / SHA256 bd4dae1e08e9eca7ddd0669235bf59107cdc418b9c2898fc16f36a7ab5748692</x:v>
      </x:c>
    </x:row>
    <x:row r="823" ht="58" customHeight="1">
      <x:c r="A823" s="23" t="str">
        <x:v>1044768477402</x:v>
      </x:c>
      <x:c r="B823" s="22"/>
      <x:c r="C823" s="22"/>
      <x:c r="D823" s="22"/>
      <x:c r="E823" s="9" t="str">
        <x:v>裙长未明确</x:v>
      </x:c>
      <x:c r="F823" s="9" t="str">
        <x:v>裙装</x:v>
      </x:c>
      <x:c r="G823" s="9" t="str">
        <x:v>半身裙</x:v>
      </x:c>
      <x:c r="H823" s="9" t="str">
        <x:v>女</x:v>
      </x:c>
      <x:c r="I823" s="9" t="str">
        <x:v>SIQIYOUNG不对称设计亚麻半裙</x:v>
      </x:c>
      <x:c r="J823" s="9" t="str">
        <x:v>SIQIYOUNG</x:v>
      </x:c>
      <x:c r="K823" s="24" t="n">
        <x:v>1347.35</x:v>
      </x:c>
      <x:c r="L823" s="25" t="e">
        <x:f>HYPERLINK("https://item.taobao.com/item.htm?id=1044768477402","打开商品")</x:f>
        <x:v>HYPERLINK is not implemented. linkLocation=https://item.taobao.com/item.htm?id=1044768477402, friendlyName=打开商品</x:v>
      </x:c>
      <x:c r="M823" s="25" t="e">
        <x:f>HYPERLINK("https://data.zhiyitech.cn/itemDetail/overview/base?itemId=1044768477402","打开知衣")</x:f>
        <x:v>HYPERLINK is not implemented. linkLocation=https://data.zhiyitech.cn/itemDetail/overview/base?itemId=1044768477402, friendlyName=打开知衣</x:v>
      </x:c>
      <x:c r="N823" s="25" t="e">
        <x:f>HYPERLINK("https://img.alicdn.com/bao/uploaded/i2/2217831595703/O1CN01lIjBHg1s01tj15TGn_!!4611686018427387575-2-item_pic.png","查看主图")</x:f>
        <x:v>HYPERLINK is not implemented. linkLocation=https://img.alicdn.com/bao/uploaded/i2/2217831595703/O1CN01lIjBHg1s01tj15TGn_!!4611686018427387575-2-item_pic.png, friendlyName=查看主图</x:v>
      </x:c>
      <x:c r="O823" s="9" t="str">
        <x:v>标题及既有类目语义复核；SIQIYOUNG不对称设计亚麻半裙；原类目及标题已能确认半身裙；展示使用已知大类，未知裙长下沉到结构字段，不强猜长短。</x:v>
      </x:c>
      <x:c r="P823" s="9" t="str">
        <x:v>普通男女装</x:v>
      </x:c>
      <x:c r="Q823" s="9" t="str">
        <x:v>W_SKIRTS_AVGPAID_1300_1400_ANNUAL2026.xlsx</x:v>
      </x:c>
      <x:c r="R823" s="9" t="str">
        <x:v>默认</x:v>
      </x:c>
      <x:c r="S823" s="9" t="n">
        <x:v>246</x:v>
      </x:c>
      <x:c r="T823" s="9" t="str">
        <x:v>bd4dae1e08e9eca7ddd0669235bf59107cdc418b9c2898fc16f36a7ab5748692</x:v>
      </x:c>
      <x:c r="U823" s="9" t="str">
        <x:v>W_SKIRTS_AVGPAID_1300_1400_ANNUAL2026</x:v>
      </x:c>
      <x:c r="V823" s="9" t="str">
        <x:v>W_SKIRTS_AVGPAID_1300_1400_ANNUAL2026.xlsx / 默认 / 第246行 / SHA256 bd4dae1e08e9eca7ddd0669235bf59107cdc418b9c2898fc16f36a7ab5748692</x:v>
      </x:c>
    </x:row>
    <x:row r="824" ht="58" customHeight="1">
      <x:c r="A824" s="23" t="str">
        <x:v>972568293011</x:v>
      </x:c>
      <x:c r="B824" s="22"/>
      <x:c r="C824" s="22"/>
      <x:c r="D824" s="22"/>
      <x:c r="E824" s="9" t="str">
        <x:v>裙长未明确</x:v>
      </x:c>
      <x:c r="F824" s="9" t="str">
        <x:v>裙装</x:v>
      </x:c>
      <x:c r="G824" s="9" t="str">
        <x:v>半身裙</x:v>
      </x:c>
      <x:c r="H824" s="9" t="str">
        <x:v>女</x:v>
      </x:c>
      <x:c r="I824" s="9" t="str">
        <x:v>SIQIYOUNG 巴黎往事-简约气质羊绒半裙 100%山羊绒优雅半身裙现货</x:v>
      </x:c>
      <x:c r="J824" s="9" t="str">
        <x:v>SIQIYOUNG</x:v>
      </x:c>
      <x:c r="K824" s="24" t="n">
        <x:v>1350</x:v>
      </x:c>
      <x:c r="L824" s="25" t="e">
        <x:f>HYPERLINK("https://item.taobao.com/item.htm?id=972568293011","打开商品")</x:f>
        <x:v>HYPERLINK is not implemented. linkLocation=https://item.taobao.com/item.htm?id=972568293011, friendlyName=打开商品</x:v>
      </x:c>
      <x:c r="M824" s="25" t="e">
        <x:f>HYPERLINK("https://data.zhiyitech.cn/itemDetail/overview/base?itemId=972568293011","打开知衣")</x:f>
        <x:v>HYPERLINK is not implemented. linkLocation=https://data.zhiyitech.cn/itemDetail/overview/base?itemId=972568293011, friendlyName=打开知衣</x:v>
      </x:c>
      <x:c r="N824" s="25" t="e">
        <x:f>HYPERLINK("https://img.alicdn.com/bao/uploaded/i2/2217831595703/O1CN01SnxPMN1s01rvO2mlp_!!4611686018427387575-0-item_pic.jpg","查看主图")</x:f>
        <x:v>HYPERLINK is not implemented. linkLocation=https://img.alicdn.com/bao/uploaded/i2/2217831595703/O1CN01SnxPMN1s01rvO2mlp_!!4611686018427387575-0-item_pic.jpg, friendlyName=查看主图</x:v>
      </x:c>
      <x:c r="O824" s="9" t="str">
        <x:v>标题及既有类目语义复核；SIQIYOUNG 巴黎往事-简约气质羊绒半裙 100%山羊绒优雅半身裙现货；原类目及标题已能确认半身裙；展示使用已知大类，未知裙长下沉到结构字段，不强猜长短。</x:v>
      </x:c>
      <x:c r="P824" s="9" t="str">
        <x:v>普通男女装</x:v>
      </x:c>
      <x:c r="Q824" s="9" t="str">
        <x:v>W_SKIRTS_AVGPAID_1300_1400_ANNUAL2026.xlsx</x:v>
      </x:c>
      <x:c r="R824" s="9" t="str">
        <x:v>默认</x:v>
      </x:c>
      <x:c r="S824" s="9" t="n">
        <x:v>79</x:v>
      </x:c>
      <x:c r="T824" s="9" t="str">
        <x:v>bd4dae1e08e9eca7ddd0669235bf59107cdc418b9c2898fc16f36a7ab5748692</x:v>
      </x:c>
      <x:c r="U824" s="9" t="str">
        <x:v>W_SKIRTS_AVGPAID_1300_1400_ANNUAL2026</x:v>
      </x:c>
      <x:c r="V824" s="9" t="str">
        <x:v>W_SKIRTS_AVGPAID_1300_1400_ANNUAL2026.xlsx / 默认 / 第79行 / SHA256 bd4dae1e08e9eca7ddd0669235bf59107cdc418b9c2898fc16f36a7ab5748692</x:v>
      </x:c>
    </x:row>
    <x:row r="825" ht="58" customHeight="1">
      <x:c r="A825" s="23" t="str">
        <x:v>984962936774</x:v>
      </x:c>
      <x:c r="B825" s="22"/>
      <x:c r="C825" s="22"/>
      <x:c r="D825" s="22"/>
      <x:c r="E825" s="9" t="str">
        <x:v>裙长未明确</x:v>
      </x:c>
      <x:c r="F825" s="9" t="str">
        <x:v>裙装</x:v>
      </x:c>
      <x:c r="G825" s="9" t="str">
        <x:v>半身裙</x:v>
      </x:c>
      <x:c r="H825" s="9" t="str">
        <x:v>女</x:v>
      </x:c>
      <x:c r="I825" s="9" t="str">
        <x:v>SIQIYOUNG 蒙彼利埃-醋酸半裙</x:v>
      </x:c>
      <x:c r="J825" s="9" t="str">
        <x:v>SIQIYOUNG</x:v>
      </x:c>
      <x:c r="K825" s="24" t="n">
        <x:v>1350.56</x:v>
      </x:c>
      <x:c r="L825" s="25" t="e">
        <x:f>HYPERLINK("https://item.taobao.com/item.htm?id=984962936774","打开商品")</x:f>
        <x:v>HYPERLINK is not implemented. linkLocation=https://item.taobao.com/item.htm?id=984962936774, friendlyName=打开商品</x:v>
      </x:c>
      <x:c r="M825" s="25" t="e">
        <x:f>HYPERLINK("https://data.zhiyitech.cn/itemDetail/overview/base?itemId=984962936774","打开知衣")</x:f>
        <x:v>HYPERLINK is not implemented. linkLocation=https://data.zhiyitech.cn/itemDetail/overview/base?itemId=984962936774, friendlyName=打开知衣</x:v>
      </x:c>
      <x:c r="N825" s="25" t="e">
        <x:f>HYPERLINK("https://img.alicdn.com/bao/uploaded/i1/2217831595703/O1CN01TTIfs51s01o7KHTYH_!!4611686018427387575-0-item_pic.jpg","查看主图")</x:f>
        <x:v>HYPERLINK is not implemented. linkLocation=https://img.alicdn.com/bao/uploaded/i1/2217831595703/O1CN01TTIfs51s01o7KHTYH_!!4611686018427387575-0-item_pic.jpg, friendlyName=查看主图</x:v>
      </x:c>
      <x:c r="O825" s="9" t="str">
        <x:v>标题及既有类目语义复核；SIQIYOUNG 蒙彼利埃-醋酸半裙；原类目及标题已能确认半身裙；展示使用已知大类，未知裙长下沉到结构字段，不强猜长短。</x:v>
      </x:c>
      <x:c r="P825" s="9" t="str">
        <x:v>普通男女装</x:v>
      </x:c>
      <x:c r="Q825" s="9" t="str">
        <x:v>W_SKIRTS_AVGPAID_1300_1400_ANNUAL2026.xlsx</x:v>
      </x:c>
      <x:c r="R825" s="9" t="str">
        <x:v>默认</x:v>
      </x:c>
      <x:c r="S825" s="9" t="n">
        <x:v>497</x:v>
      </x:c>
      <x:c r="T825" s="9" t="str">
        <x:v>bd4dae1e08e9eca7ddd0669235bf59107cdc418b9c2898fc16f36a7ab5748692</x:v>
      </x:c>
      <x:c r="U825" s="9" t="str">
        <x:v>W_SKIRTS_AVGPAID_1300_1400_ANNUAL2026</x:v>
      </x:c>
      <x:c r="V825" s="9" t="str">
        <x:v>W_SKIRTS_AVGPAID_1300_1400_ANNUAL2026.xlsx / 默认 / 第497行 / SHA256 bd4dae1e08e9eca7ddd0669235bf59107cdc418b9c2898fc16f36a7ab5748692</x:v>
      </x:c>
    </x:row>
    <x:row r="826" ht="58" customHeight="1">
      <x:c r="A826" s="23" t="str">
        <x:v>998606348297</x:v>
      </x:c>
      <x:c r="B826" s="22"/>
      <x:c r="C826" s="22"/>
      <x:c r="D826" s="22"/>
      <x:c r="E826" s="9" t="str">
        <x:v>裙长未明确</x:v>
      </x:c>
      <x:c r="F826" s="9" t="str">
        <x:v>裙装</x:v>
      </x:c>
      <x:c r="G826" s="9" t="str">
        <x:v>半身裙</x:v>
      </x:c>
      <x:c r="H826" s="9" t="str">
        <x:v>女</x:v>
      </x:c>
      <x:c r="I826" s="9" t="str">
        <x:v>SIQIYOUNG 鎏金裙-可拆卸罩裙亮片半裙 网纱珠片设计感直筒裙复古</x:v>
      </x:c>
      <x:c r="J826" s="9" t="str">
        <x:v>SIQIYOUNG</x:v>
      </x:c>
      <x:c r="K826" s="24" t="n">
        <x:v>1330.39</x:v>
      </x:c>
      <x:c r="L826" s="25" t="e">
        <x:f>HYPERLINK("https://item.taobao.com/item.htm?id=998606348297","打开商品")</x:f>
        <x:v>HYPERLINK is not implemented. linkLocation=https://item.taobao.com/item.htm?id=998606348297, friendlyName=打开商品</x:v>
      </x:c>
      <x:c r="M826" s="25" t="e">
        <x:f>HYPERLINK("https://data.zhiyitech.cn/itemDetail/overview/base?itemId=998606348297","打开知衣")</x:f>
        <x:v>HYPERLINK is not implemented. linkLocation=https://data.zhiyitech.cn/itemDetail/overview/base?itemId=998606348297, friendlyName=打开知衣</x:v>
      </x:c>
      <x:c r="N826" s="25" t="e">
        <x:f>HYPERLINK("https://img.alicdn.com/bao/uploaded/i1/2217831595703/O1CN01Omt65f1s01s1KsBn2_!!4611686018427387575-2-item_pic.png","查看主图")</x:f>
        <x:v>HYPERLINK is not implemented. linkLocation=https://img.alicdn.com/bao/uploaded/i1/2217831595703/O1CN01Omt65f1s01s1KsBn2_!!4611686018427387575-2-item_pic.png, friendlyName=查看主图</x:v>
      </x:c>
      <x:c r="O826" s="9" t="str">
        <x:v>标题及既有类目语义复核；SIQIYOUNG 鎏金裙-可拆卸罩裙亮片半裙 网纱珠片设计感直筒裙复古；原类目及标题已能确认半身裙；展示使用已知大类，未知裙长下沉到结构字段，不强猜长短。</x:v>
      </x:c>
      <x:c r="P826" s="9" t="str">
        <x:v>普通男女装</x:v>
      </x:c>
      <x:c r="Q826" s="9" t="str">
        <x:v>W_SKIRTS_AVGPAID_1300_1400_ANNUAL2026.xlsx</x:v>
      </x:c>
      <x:c r="R826" s="9" t="str">
        <x:v>默认</x:v>
      </x:c>
      <x:c r="S826" s="9" t="n">
        <x:v>209</x:v>
      </x:c>
      <x:c r="T826" s="9" t="str">
        <x:v>bd4dae1e08e9eca7ddd0669235bf59107cdc418b9c2898fc16f36a7ab5748692</x:v>
      </x:c>
      <x:c r="U826" s="9" t="str">
        <x:v>W_SKIRTS_AVGPAID_1300_1400_ANNUAL2026</x:v>
      </x:c>
      <x:c r="V826" s="9" t="str">
        <x:v>W_SKIRTS_AVGPAID_1300_1400_ANNUAL2026.xlsx / 默认 / 第209行 / SHA256 bd4dae1e08e9eca7ddd0669235bf59107cdc418b9c2898fc16f36a7ab5748692</x:v>
      </x:c>
    </x:row>
    <x:row r="827" ht="58" customHeight="1">
      <x:c r="A827" s="23" t="str">
        <x:v>1079797093283</x:v>
      </x:c>
      <x:c r="B827" s="22"/>
      <x:c r="C827" s="22"/>
      <x:c r="D827" s="22"/>
      <x:c r="E827" s="9" t="str">
        <x:v>裙长未明确</x:v>
      </x:c>
      <x:c r="F827" s="9" t="str">
        <x:v>裙装</x:v>
      </x:c>
      <x:c r="G827" s="9" t="str">
        <x:v>半身裙</x:v>
      </x:c>
      <x:c r="H827" s="9" t="str">
        <x:v>女</x:v>
      </x:c>
      <x:c r="I827" s="9" t="str">
        <x:v>SOULKISS「诺曼底」经典苾败 英国进口鳄鱼压纹羔羊皮A字半身皮裙</x:v>
      </x:c>
      <x:c r="J827" s="9" t="str">
        <x:v>SOULKISS</x:v>
      </x:c>
      <x:c r="K827" s="24" t="n">
        <x:v>1351.73</x:v>
      </x:c>
      <x:c r="L827" s="25" t="e">
        <x:f>HYPERLINK("https://item.taobao.com/item.htm?id=1079797093283","打开商品")</x:f>
        <x:v>HYPERLINK is not implemented. linkLocation=https://item.taobao.com/item.htm?id=1079797093283, friendlyName=打开商品</x:v>
      </x:c>
      <x:c r="M827" s="25" t="e">
        <x:f>HYPERLINK("https://data.zhiyitech.cn/itemDetail/overview/base?itemId=1079797093283","打开知衣")</x:f>
        <x:v>HYPERLINK is not implemented. linkLocation=https://data.zhiyitech.cn/itemDetail/overview/base?itemId=1079797093283, friendlyName=打开知衣</x:v>
      </x:c>
      <x:c r="N827" s="25" t="e">
        <x:f>HYPERLINK("https://img.alicdn.com/bao/uploaded/i2/2658869018/O1CN01DVFNgACjj3B43lmS_!!4611686018427387674-0-item_pic.jpg","查看主图")</x:f>
        <x:v>HYPERLINK is not implemented. linkLocation=https://img.alicdn.com/bao/uploaded/i2/2658869018/O1CN01DVFNgACjj3B43lmS_!!4611686018427387674-0-item_pic.jpg, friendlyName=查看主图</x:v>
      </x:c>
      <x:c r="O827" s="9" t="str">
        <x:v>标题及既有类目语义复核；SOULKISS「诺曼底」经典苾败 英国进口鳄鱼压纹羔羊皮A字半身皮裙；原类目及标题已能确认半身裙；展示使用已知大类，未知裙长下沉到结构字段，不强猜长短。</x:v>
      </x:c>
      <x:c r="P827" s="9" t="str">
        <x:v>普通男女装</x:v>
      </x:c>
      <x:c r="Q827" s="9" t="str">
        <x:v>W_SKIRTS_AVGPAID_1300_1400_ANNUAL2026.xlsx</x:v>
      </x:c>
      <x:c r="R827" s="9" t="str">
        <x:v>默认</x:v>
      </x:c>
      <x:c r="S827" s="9" t="n">
        <x:v>417</x:v>
      </x:c>
      <x:c r="T827" s="9" t="str">
        <x:v>bd4dae1e08e9eca7ddd0669235bf59107cdc418b9c2898fc16f36a7ab5748692</x:v>
      </x:c>
      <x:c r="U827" s="9" t="str">
        <x:v>W_SKIRTS_AVGPAID_1300_1400_ANNUAL2026</x:v>
      </x:c>
      <x:c r="V827" s="9" t="str">
        <x:v>W_SKIRTS_AVGPAID_1300_1400_ANNUAL2026.xlsx / 默认 / 第417行 / SHA256 bd4dae1e08e9eca7ddd0669235bf59107cdc418b9c2898fc16f36a7ab5748692</x:v>
      </x:c>
    </x:row>
    <x:row r="828" ht="58" customHeight="1">
      <x:c r="A828" s="23" t="str">
        <x:v>1075163762582</x:v>
      </x:c>
      <x:c r="B828" s="22"/>
      <x:c r="C828" s="22"/>
      <x:c r="D828" s="22"/>
      <x:c r="E828" s="9" t="str">
        <x:v>裙长未明确</x:v>
      </x:c>
      <x:c r="F828" s="9" t="str">
        <x:v>裙装</x:v>
      </x:c>
      <x:c r="G828" s="9" t="str">
        <x:v>半身裙</x:v>
      </x:c>
      <x:c r="H828" s="9" t="str">
        <x:v>女</x:v>
      </x:c>
      <x:c r="I828" s="9" t="str">
        <x:v>[早秋新品]Sporty&amp;Rich 女士美式复古潮流休闲徽标学院风半身裙</x:v>
      </x:c>
      <x:c r="J828" s="9" t="str">
        <x:v>SPORTY &amp; RICH</x:v>
      </x:c>
      <x:c r="K828" s="24" t="n">
        <x:v>1700.5</x:v>
      </x:c>
      <x:c r="L828" s="25" t="e">
        <x:f>HYPERLINK("https://item.taobao.com/item.htm?id=1075163762582","打开商品")</x:f>
        <x:v>HYPERLINK is not implemented. linkLocation=https://item.taobao.com/item.htm?id=1075163762582, friendlyName=打开商品</x:v>
      </x:c>
      <x:c r="M828" s="25" t="e">
        <x:f>HYPERLINK("https://data.zhiyitech.cn/itemDetail/overview/base?itemId=1075163762582","打开知衣")</x:f>
        <x:v>HYPERLINK is not implemented. linkLocation=https://data.zhiyitech.cn/itemDetail/overview/base?itemId=1075163762582, friendlyName=打开知衣</x:v>
      </x:c>
      <x:c r="N828" s="25" t="e">
        <x:f>HYPERLINK("https://img.alicdn.com/bao/uploaded/i3/2219488300304/O1CN010Lek5sfEMkF2vH2e_!!4611686018427383056-0-item_pic.jpg","查看主图")</x:f>
        <x:v>HYPERLINK is not implemented. linkLocation=https://img.alicdn.com/bao/uploaded/i3/2219488300304/O1CN010Lek5sfEMkF2vH2e_!!4611686018427383056-0-item_pic.jpg, friendlyName=查看主图</x:v>
      </x:c>
      <x:c r="O828" s="9" t="str">
        <x:v>标题及既有类目语义复核；[早秋新品]Sporty&amp;Rich 女士美式复古潮流休闲徽标学院风半身裙；原类目及标题已能确认半身裙；展示使用已知大类，未知裙长下沉到结构字段，不强猜长短。</x:v>
      </x:c>
      <x:c r="P828" s="9" t="str">
        <x:v>普通男女装</x:v>
      </x:c>
      <x:c r="Q828" s="9" t="str">
        <x:v>W_SKIRTS_AVGPAID_1700_1800_ANNUAL2026.xlsx</x:v>
      </x:c>
      <x:c r="R828" s="9" t="str">
        <x:v>默认</x:v>
      </x:c>
      <x:c r="S828" s="9" t="n">
        <x:v>493</x:v>
      </x:c>
      <x:c r="T828" s="9" t="str">
        <x:v>c25ed77c53c7c5cfcf728778a0e9b297d8689503f62756a939cbd534ca9b587a</x:v>
      </x:c>
      <x:c r="U828" s="9" t="str">
        <x:v>W_SKIRTS_AVGPAID_1700_1800_ANNUAL2026</x:v>
      </x:c>
      <x:c r="V828" s="9" t="str">
        <x:v>W_SKIRTS_AVGPAID_1700_1800_ANNUAL2026.xlsx / 默认 / 第493行 / SHA256 c25ed77c53c7c5cfcf728778a0e9b297d8689503f62756a939cbd534ca9b587a</x:v>
      </x:c>
    </x:row>
    <x:row r="829" ht="58" customHeight="1">
      <x:c r="A829" s="23" t="str">
        <x:v>971797195810</x:v>
      </x:c>
      <x:c r="B829" s="22"/>
      <x:c r="C829" s="22"/>
      <x:c r="D829" s="22"/>
      <x:c r="E829" s="9" t="str">
        <x:v>裙长未明确</x:v>
      </x:c>
      <x:c r="F829" s="9" t="str">
        <x:v>裙装</x:v>
      </x:c>
      <x:c r="G829" s="9" t="str">
        <x:v>半身裙</x:v>
      </x:c>
      <x:c r="H829" s="9" t="str">
        <x:v>女</x:v>
      </x:c>
      <x:c r="I829" s="9" t="str">
        <x:v>LemonChen优雅皮革叙事 柔软轻量感进口小羊皮优雅伞型长半裙</x:v>
      </x:c>
      <x:c r="J829" s="9" t="str">
        <x:v>STUDIO/徐琳</x:v>
      </x:c>
      <x:c r="K829" s="24" t="n">
        <x:v>1555.79</x:v>
      </x:c>
      <x:c r="L829" s="25" t="e">
        <x:f>HYPERLINK("https://item.taobao.com/item.htm?id=971797195810","打开商品")</x:f>
        <x:v>HYPERLINK is not implemented. linkLocation=https://item.taobao.com/item.htm?id=971797195810, friendlyName=打开商品</x:v>
      </x:c>
      <x:c r="M829" s="25" t="e">
        <x:f>HYPERLINK("https://data.zhiyitech.cn/itemDetail/overview/base?itemId=971797195810","打开知衣")</x:f>
        <x:v>HYPERLINK is not implemented. linkLocation=https://data.zhiyitech.cn/itemDetail/overview/base?itemId=971797195810, friendlyName=打开知衣</x:v>
      </x:c>
      <x:c r="N829" s="25" t="e">
        <x:f>HYPERLINK("https://img.alicdn.com/imgextra/i2/247870837/O1CN01IgSTcX1I3Ob6AFSAy_!!247870837.jpg","查看主图")</x:f>
        <x:v>HYPERLINK is not implemented. linkLocation=https://img.alicdn.com/imgextra/i2/247870837/O1CN01IgSTcX1I3Ob6AFSAy_!!247870837.jpg, friendlyName=查看主图</x:v>
      </x:c>
      <x:c r="O829" s="9" t="str">
        <x:v>标题及既有类目语义复核；LemonChen优雅皮革叙事 柔软轻量感进口小羊皮优雅伞型长半裙；原类目及标题已能确认半身裙；展示使用已知大类，未知裙长下沉到结构字段，不强猜长短。</x:v>
      </x:c>
      <x:c r="P829" s="9" t="str">
        <x:v>普通男女装</x:v>
      </x:c>
      <x:c r="Q829" s="9" t="str">
        <x:v>W_SKIRTS_AVGPAID_1500_1600_ANNUAL2026.xlsx</x:v>
      </x:c>
      <x:c r="R829" s="9" t="str">
        <x:v>默认</x:v>
      </x:c>
      <x:c r="S829" s="9" t="n">
        <x:v>381</x:v>
      </x:c>
      <x:c r="T829" s="9" t="str">
        <x:v>deede8b56943df4f914be45dba170f12e69064023d6ef0e88dbde1764f6ba23e</x:v>
      </x:c>
      <x:c r="U829" s="9" t="str">
        <x:v>W_SKIRTS_AVGPAID_1500_1600_ANNUAL2026</x:v>
      </x:c>
      <x:c r="V829" s="9" t="str">
        <x:v>W_SKIRTS_AVGPAID_1500_1600_ANNUAL2026.xlsx / 默认 / 第381行 / SHA256 deede8b56943df4f914be45dba170f12e69064023d6ef0e88dbde1764f6ba23e</x:v>
      </x:c>
    </x:row>
    <x:row r="830" ht="58" customHeight="1">
      <x:c r="A830" s="23" t="str">
        <x:v>1009727483807</x:v>
      </x:c>
      <x:c r="B830" s="22"/>
      <x:c r="C830" s="22"/>
      <x:c r="D830" s="22"/>
      <x:c r="E830" s="9" t="str">
        <x:v>裙长未明确</x:v>
      </x:c>
      <x:c r="F830" s="9" t="str">
        <x:v>裙装</x:v>
      </x:c>
      <x:c r="G830" s="9" t="str">
        <x:v>半身裙</x:v>
      </x:c>
      <x:c r="H830" s="9" t="str">
        <x:v>女</x:v>
      </x:c>
      <x:c r="I830" s="9" t="str">
        <x:v>【TEENIEWEENIE x VIVETTA联名】小熊女装26夏立体花朵A字半身裙</x:v>
      </x:c>
      <x:c r="J830" s="9" t="str">
        <x:v>TEENIE WEENIE</x:v>
      </x:c>
      <x:c r="K830" s="24" t="n">
        <x:v>1305.94</x:v>
      </x:c>
      <x:c r="L830" s="25" t="e">
        <x:f>HYPERLINK("https://item.taobao.com/item.htm?id=1009727483807","打开商品")</x:f>
        <x:v>HYPERLINK is not implemented. linkLocation=https://item.taobao.com/item.htm?id=1009727483807, friendlyName=打开商品</x:v>
      </x:c>
      <x:c r="M830" s="25" t="e">
        <x:f>HYPERLINK("https://data.zhiyitech.cn/itemDetail/overview/base?itemId=1009727483807","打开知衣")</x:f>
        <x:v>HYPERLINK is not implemented. linkLocation=https://data.zhiyitech.cn/itemDetail/overview/base?itemId=1009727483807, friendlyName=打开知衣</x:v>
      </x:c>
      <x:c r="N830" s="25" t="e">
        <x:f>HYPERLINK("https://img.alicdn.com/bao/uploaded/i2/1771485843/O1CN012cNgoRFohID1chua-1771485843.jpg","查看主图")</x:f>
        <x:v>HYPERLINK is not implemented. linkLocation=https://img.alicdn.com/bao/uploaded/i2/1771485843/O1CN012cNgoRFohID1chua-1771485843.jpg, friendlyName=查看主图</x:v>
      </x:c>
      <x:c r="O830" s="9" t="str">
        <x:v>标题及既有类目语义复核；【TEENIEWEENIE x VIVETTA联名】小熊女装26夏立体花朵A字半身裙；原类目及标题已能确认半身裙；展示使用已知大类，未知裙长下沉到结构字段，不强猜长短。</x:v>
      </x:c>
      <x:c r="P830" s="9" t="str">
        <x:v>普通男女装</x:v>
      </x:c>
      <x:c r="Q830" s="9" t="str">
        <x:v>W_SKIRTS_AVGPAID_1300_1400_ANNUAL2026.xlsx</x:v>
      </x:c>
      <x:c r="R830" s="9" t="str">
        <x:v>默认</x:v>
      </x:c>
      <x:c r="S830" s="9" t="n">
        <x:v>141</x:v>
      </x:c>
      <x:c r="T830" s="9" t="str">
        <x:v>bd4dae1e08e9eca7ddd0669235bf59107cdc418b9c2898fc16f36a7ab5748692</x:v>
      </x:c>
      <x:c r="U830" s="9" t="str">
        <x:v>W_SKIRTS_AVGPAID_1300_1400_ANNUAL2026</x:v>
      </x:c>
      <x:c r="V830" s="9" t="str">
        <x:v>W_SKIRTS_AVGPAID_1300_1400_ANNUAL2026.xlsx / 默认 / 第141行 / SHA256 bd4dae1e08e9eca7ddd0669235bf59107cdc418b9c2898fc16f36a7ab5748692</x:v>
      </x:c>
    </x:row>
    <x:row r="831" ht="58" customHeight="1">
      <x:c r="A831" s="23" t="str">
        <x:v>977157153925</x:v>
      </x:c>
      <x:c r="B831" s="22"/>
      <x:c r="C831" s="22"/>
      <x:c r="D831" s="22"/>
      <x:c r="E831" s="9" t="str">
        <x:v>裙长未明确</x:v>
      </x:c>
      <x:c r="F831" s="9" t="str">
        <x:v>裙装</x:v>
      </x:c>
      <x:c r="G831" s="9" t="str">
        <x:v>半身裙</x:v>
      </x:c>
      <x:c r="H831" s="9" t="str">
        <x:v>女</x:v>
      </x:c>
      <x:c r="I831" s="9" t="str">
        <x:v>THE MEET 英国Barrington巴灵顿系列 抗皱羊毛高腰松紧半身伞裙秋</x:v>
      </x:c>
      <x:c r="J831" s="9" t="str">
        <x:v>THE BEAUTY MEET</x:v>
      </x:c>
      <x:c r="K831" s="24" t="n">
        <x:v>1595.51</x:v>
      </x:c>
      <x:c r="L831" s="25" t="e">
        <x:f>HYPERLINK("https://item.taobao.com/item.htm?id=977157153925","打开商品")</x:f>
        <x:v>HYPERLINK is not implemented. linkLocation=https://item.taobao.com/item.htm?id=977157153925, friendlyName=打开商品</x:v>
      </x:c>
      <x:c r="M831" s="25" t="e">
        <x:f>HYPERLINK("https://data.zhiyitech.cn/itemDetail/overview/base?itemId=977157153925","打开知衣")</x:f>
        <x:v>HYPERLINK is not implemented. linkLocation=https://data.zhiyitech.cn/itemDetail/overview/base?itemId=977157153925, friendlyName=打开知衣</x:v>
      </x:c>
      <x:c r="N831" s="25" t="e">
        <x:f>HYPERLINK("https://img.alicdn.com/bao/uploaded/i2/512291569/O1CN01IqHetT1NSeW9HXDgo_!!512291569.jpg","查看主图")</x:f>
        <x:v>HYPERLINK is not implemented. linkLocation=https://img.alicdn.com/bao/uploaded/i2/512291569/O1CN01IqHetT1NSeW9HXDgo_!!512291569.jpg, friendlyName=查看主图</x:v>
      </x:c>
      <x:c r="O831" s="9" t="str">
        <x:v>标题及既有类目语义复核；THE MEET 英国Barrington巴灵顿系列 抗皱羊毛高腰松紧半身伞裙秋；原类目及标题已能确认半身裙；展示使用已知大类，未知裙长下沉到结构字段，不强猜长短。</x:v>
      </x:c>
      <x:c r="P831" s="9" t="str">
        <x:v>普通男女装</x:v>
      </x:c>
      <x:c r="Q831" s="9" t="str">
        <x:v>W_SKIRTS_AVGPAID_1500_1600_ANNUAL2026.xlsx</x:v>
      </x:c>
      <x:c r="R831" s="9" t="str">
        <x:v>默认</x:v>
      </x:c>
      <x:c r="S831" s="9" t="n">
        <x:v>240</x:v>
      </x:c>
      <x:c r="T831" s="9" t="str">
        <x:v>deede8b56943df4f914be45dba170f12e69064023d6ef0e88dbde1764f6ba23e</x:v>
      </x:c>
      <x:c r="U831" s="9" t="str">
        <x:v>W_SKIRTS_AVGPAID_1500_1600_ANNUAL2026</x:v>
      </x:c>
      <x:c r="V831" s="9" t="str">
        <x:v>W_SKIRTS_AVGPAID_1500_1600_ANNUAL2026.xlsx / 默认 / 第240行 / SHA256 deede8b56943df4f914be45dba170f12e69064023d6ef0e88dbde1764f6ba23e</x:v>
      </x:c>
    </x:row>
    <x:row r="832" ht="58" customHeight="1">
      <x:c r="A832" s="23" t="str">
        <x:v>963190262034</x:v>
      </x:c>
      <x:c r="B832" s="22"/>
      <x:c r="C832" s="22"/>
      <x:c r="D832" s="22"/>
      <x:c r="E832" s="9" t="str">
        <x:v>裙长未明确</x:v>
      </x:c>
      <x:c r="F832" s="9" t="str">
        <x:v>裙装</x:v>
      </x:c>
      <x:c r="G832" s="9" t="str">
        <x:v>半身裙</x:v>
      </x:c>
      <x:c r="H832" s="9" t="str">
        <x:v>女</x:v>
      </x:c>
      <x:c r="I832" s="9" t="str">
        <x:v>THEEASE舒适派【比例王】进口羊皮半身裙高弹植揉哑光质感一步裙</x:v>
      </x:c>
      <x:c r="J832" s="9" t="str">
        <x:v>THE EASE</x:v>
      </x:c>
      <x:c r="K832" s="24" t="n">
        <x:v>1374.08</x:v>
      </x:c>
      <x:c r="L832" s="25" t="e">
        <x:f>HYPERLINK("https://item.taobao.com/item.htm?id=963190262034","打开商品")</x:f>
        <x:v>HYPERLINK is not implemented. linkLocation=https://item.taobao.com/item.htm?id=963190262034, friendlyName=打开商品</x:v>
      </x:c>
      <x:c r="M832" s="25" t="e">
        <x:f>HYPERLINK("https://data.zhiyitech.cn/itemDetail/overview/base?itemId=963190262034","打开知衣")</x:f>
        <x:v>HYPERLINK is not implemented. linkLocation=https://data.zhiyitech.cn/itemDetail/overview/base?itemId=963190262034, friendlyName=打开知衣</x:v>
      </x:c>
      <x:c r="N832" s="25" t="e">
        <x:f>HYPERLINK("https://img.alicdn.com/bao/uploaded/i1/2214159414826/O1CN01CHpe3D1lWMUnxMbtf_!!2214159414826.jpg","查看主图")</x:f>
        <x:v>HYPERLINK is not implemented. linkLocation=https://img.alicdn.com/bao/uploaded/i1/2214159414826/O1CN01CHpe3D1lWMUnxMbtf_!!2214159414826.jpg, friendlyName=查看主图</x:v>
      </x:c>
      <x:c r="O832" s="9" t="str">
        <x:v>标题及既有类目语义复核；THEEASE舒适派【比例王】进口羊皮半身裙高弹植揉哑光质感一步裙；原类目及标题已能确认半身裙；展示使用已知大类，未知裙长下沉到结构字段，不强猜长短。</x:v>
      </x:c>
      <x:c r="P832" s="9" t="str">
        <x:v>普通男女装</x:v>
      </x:c>
      <x:c r="Q832" s="9" t="str">
        <x:v>W_SKIRTS_AVGPAID_1300_1400_ANNUAL2026.xlsx</x:v>
      </x:c>
      <x:c r="R832" s="9" t="str">
        <x:v>默认</x:v>
      </x:c>
      <x:c r="S832" s="9" t="n">
        <x:v>460</x:v>
      </x:c>
      <x:c r="T832" s="9" t="str">
        <x:v>bd4dae1e08e9eca7ddd0669235bf59107cdc418b9c2898fc16f36a7ab5748692</x:v>
      </x:c>
      <x:c r="U832" s="9" t="str">
        <x:v>W_SKIRTS_AVGPAID_1300_1400_ANNUAL2026</x:v>
      </x:c>
      <x:c r="V832" s="9" t="str">
        <x:v>W_SKIRTS_AVGPAID_1300_1400_ANNUAL2026.xlsx / 默认 / 第460行 / SHA256 bd4dae1e08e9eca7ddd0669235bf59107cdc418b9c2898fc16f36a7ab5748692</x:v>
      </x:c>
    </x:row>
    <x:row r="833" ht="58" customHeight="1">
      <x:c r="A833" s="23" t="str">
        <x:v>851569774579</x:v>
      </x:c>
      <x:c r="B833" s="22"/>
      <x:c r="C833" s="22"/>
      <x:c r="D833" s="22"/>
      <x:c r="E833" s="9" t="str">
        <x:v>裙长未明确</x:v>
      </x:c>
      <x:c r="F833" s="9" t="str">
        <x:v>裙装</x:v>
      </x:c>
      <x:c r="G833" s="9" t="str">
        <x:v>半身裙</x:v>
      </x:c>
      <x:c r="H833" s="9" t="str">
        <x:v>女</x:v>
      </x:c>
      <x:c r="I833" s="9" t="str">
        <x:v>THESOONG/摩登时髦 100%牛皮质感舒适光泽感真皮百搭黑色半身裙女</x:v>
      </x:c>
      <x:c r="J833" s="9" t="str">
        <x:v>THE SOONG</x:v>
      </x:c>
      <x:c r="K833" s="24" t="n">
        <x:v>1345.54</x:v>
      </x:c>
      <x:c r="L833" s="25" t="e">
        <x:f>HYPERLINK("https://item.taobao.com/item.htm?id=851569774579","打开商品")</x:f>
        <x:v>HYPERLINK is not implemented. linkLocation=https://item.taobao.com/item.htm?id=851569774579, friendlyName=打开商品</x:v>
      </x:c>
      <x:c r="M833" s="25" t="e">
        <x:f>HYPERLINK("https://data.zhiyitech.cn/itemDetail/overview/base?itemId=851569774579","打开知衣")</x:f>
        <x:v>HYPERLINK is not implemented. linkLocation=https://data.zhiyitech.cn/itemDetail/overview/base?itemId=851569774579, friendlyName=打开知衣</x:v>
      </x:c>
      <x:c r="N833" s="25" t="e">
        <x:f>HYPERLINK("https://img.alicdn.com/bao/uploaded/i2/144291034/O1CN01OgvYf51JVcXydFmYg_!!144291034.jpg","查看主图")</x:f>
        <x:v>HYPERLINK is not implemented. linkLocation=https://img.alicdn.com/bao/uploaded/i2/144291034/O1CN01OgvYf51JVcXydFmYg_!!144291034.jpg, friendlyName=查看主图</x:v>
      </x:c>
      <x:c r="O833" s="9" t="str">
        <x:v>标题及既有类目语义复核；THESOONG/摩登时髦 100%牛皮质感舒适光泽感真皮百搭黑色半身裙女；原类目及标题已能确认半身裙；展示使用已知大类，未知裙长下沉到结构字段，不强猜长短。</x:v>
      </x:c>
      <x:c r="P833" s="9" t="str">
        <x:v>普通男女装</x:v>
      </x:c>
      <x:c r="Q833" s="9" t="str">
        <x:v>W_SKIRTS_AVGPAID_1300_1400_ANNUAL2026.xlsx</x:v>
      </x:c>
      <x:c r="R833" s="9" t="str">
        <x:v>默认</x:v>
      </x:c>
      <x:c r="S833" s="9" t="n">
        <x:v>180</x:v>
      </x:c>
      <x:c r="T833" s="9" t="str">
        <x:v>bd4dae1e08e9eca7ddd0669235bf59107cdc418b9c2898fc16f36a7ab5748692</x:v>
      </x:c>
      <x:c r="U833" s="9" t="str">
        <x:v>W_SKIRTS_AVGPAID_1300_1400_ANNUAL2026</x:v>
      </x:c>
      <x:c r="V833" s="9" t="str">
        <x:v>W_SKIRTS_AVGPAID_1300_1400_ANNUAL2026.xlsx / 默认 / 第180行 / SHA256 bd4dae1e08e9eca7ddd0669235bf59107cdc418b9c2898fc16f36a7ab5748692</x:v>
      </x:c>
    </x:row>
    <x:row r="834" ht="58" customHeight="1">
      <x:c r="A834" s="23" t="str">
        <x:v>752082877626</x:v>
      </x:c>
      <x:c r="B834" s="22"/>
      <x:c r="C834" s="22"/>
      <x:c r="D834" s="22"/>
      <x:c r="E834" s="9" t="str">
        <x:v>裙长未明确</x:v>
      </x:c>
      <x:c r="F834" s="9" t="str">
        <x:v>裙装</x:v>
      </x:c>
      <x:c r="G834" s="9" t="str">
        <x:v>半身裙</x:v>
      </x:c>
      <x:c r="H834" s="9" t="str">
        <x:v>女</x:v>
      </x:c>
      <x:c r="I834" s="9" t="str">
        <x:v>THE MEET赫本风半身皮裙 新西兰绵羊皮半身裙冬款黑色百搭A字裙女</x:v>
      </x:c>
      <x:c r="J834" s="9" t="str">
        <x:v>THEMEET</x:v>
      </x:c>
      <x:c r="K834" s="24" t="n">
        <x:v>1777.45</x:v>
      </x:c>
      <x:c r="L834" s="25" t="e">
        <x:f>HYPERLINK("https://item.taobao.com/item.htm?id=752082877626","打开商品")</x:f>
        <x:v>HYPERLINK is not implemented. linkLocation=https://item.taobao.com/item.htm?id=752082877626, friendlyName=打开商品</x:v>
      </x:c>
      <x:c r="M834" s="25" t="e">
        <x:f>HYPERLINK("https://data.zhiyitech.cn/itemDetail/overview/base?itemId=752082877626","打开知衣")</x:f>
        <x:v>HYPERLINK is not implemented. linkLocation=https://data.zhiyitech.cn/itemDetail/overview/base?itemId=752082877626, friendlyName=打开知衣</x:v>
      </x:c>
      <x:c r="N834" s="25" t="e">
        <x:f>HYPERLINK("https://img.alicdn.com/bao/uploaded/i1/512291569/O1CN011qFbjM1NSeKYuzgCD_!!512291569.jpg","查看主图")</x:f>
        <x:v>HYPERLINK is not implemented. linkLocation=https://img.alicdn.com/bao/uploaded/i1/512291569/O1CN011qFbjM1NSeKYuzgCD_!!512291569.jpg, friendlyName=查看主图</x:v>
      </x:c>
      <x:c r="O834" s="9" t="str">
        <x:v>标题及既有类目语义复核；THE MEET赫本风半身皮裙 新西兰绵羊皮半身裙冬款黑色百搭A字裙女；原类目及标题已能确认半身裙；展示使用已知大类，未知裙长下沉到结构字段，不强猜长短。</x:v>
      </x:c>
      <x:c r="P834" s="9" t="str">
        <x:v>普通男女装</x:v>
      </x:c>
      <x:c r="Q834" s="9" t="str">
        <x:v>W_SKIRTS_AVGPAID_1700_1800_ANNUAL2026.xlsx</x:v>
      </x:c>
      <x:c r="R834" s="9" t="str">
        <x:v>默认</x:v>
      </x:c>
      <x:c r="S834" s="9" t="n">
        <x:v>190</x:v>
      </x:c>
      <x:c r="T834" s="9" t="str">
        <x:v>c25ed77c53c7c5cfcf728778a0e9b297d8689503f62756a939cbd534ca9b587a</x:v>
      </x:c>
      <x:c r="U834" s="9" t="str">
        <x:v>W_SKIRTS_AVGPAID_1700_1800_ANNUAL2026</x:v>
      </x:c>
      <x:c r="V834" s="9" t="str">
        <x:v>W_SKIRTS_AVGPAID_1700_1800_ANNUAL2026.xlsx / 默认 / 第190行 / SHA256 c25ed77c53c7c5cfcf728778a0e9b297d8689503f62756a939cbd534ca9b587a</x:v>
      </x:c>
    </x:row>
    <x:row r="835" ht="58" customHeight="1">
      <x:c r="A835" s="23" t="str">
        <x:v>944638765930</x:v>
      </x:c>
      <x:c r="B835" s="22"/>
      <x:c r="C835" s="22"/>
      <x:c r="D835" s="22"/>
      <x:c r="E835" s="9" t="str">
        <x:v>裙长未明确</x:v>
      </x:c>
      <x:c r="F835" s="9" t="str">
        <x:v>裙装</x:v>
      </x:c>
      <x:c r="G835" s="9" t="str">
        <x:v>半身裙</x:v>
      </x:c>
      <x:c r="H835" s="9" t="str">
        <x:v>女</x:v>
      </x:c>
      <x:c r="I835" s="9" t="str">
        <x:v>THE MEET 绞罗系列 度假风香云纱半身裙 波西米亚层次感拼接a字裙</x:v>
      </x:c>
      <x:c r="J835" s="9" t="str">
        <x:v>THEMEET</x:v>
      </x:c>
      <x:c r="K835" s="24" t="n">
        <x:v>1514.05</x:v>
      </x:c>
      <x:c r="L835" s="25" t="e">
        <x:f>HYPERLINK("https://item.taobao.com/item.htm?id=944638765930","打开商品")</x:f>
        <x:v>HYPERLINK is not implemented. linkLocation=https://item.taobao.com/item.htm?id=944638765930, friendlyName=打开商品</x:v>
      </x:c>
      <x:c r="M835" s="25" t="e">
        <x:f>HYPERLINK("https://data.zhiyitech.cn/itemDetail/overview/base?itemId=944638765930","打开知衣")</x:f>
        <x:v>HYPERLINK is not implemented. linkLocation=https://data.zhiyitech.cn/itemDetail/overview/base?itemId=944638765930, friendlyName=打开知衣</x:v>
      </x:c>
      <x:c r="N835" s="25" t="e">
        <x:f>HYPERLINK("https://img.alicdn.com/bao/uploaded/i2/512291569/O1CN01foGnn11NSeUjtjARC_!!512291569.jpg","查看主图")</x:f>
        <x:v>HYPERLINK is not implemented. linkLocation=https://img.alicdn.com/bao/uploaded/i2/512291569/O1CN01foGnn11NSeUjtjARC_!!512291569.jpg, friendlyName=查看主图</x:v>
      </x:c>
      <x:c r="O835" s="9" t="str">
        <x:v>标题及既有类目语义复核；THE MEET 绞罗系列 度假风香云纱半身裙 波西米亚层次感拼接a字裙；原类目及标题已能确认半身裙；展示使用已知大类，未知裙长下沉到结构字段，不强猜长短。</x:v>
      </x:c>
      <x:c r="P835" s="9" t="str">
        <x:v>普通男女装</x:v>
      </x:c>
      <x:c r="Q835" s="9" t="str">
        <x:v>W_SKIRTS_AVGPAID_1500_1600_ANNUAL2026.xlsx</x:v>
      </x:c>
      <x:c r="R835" s="9" t="str">
        <x:v>默认</x:v>
      </x:c>
      <x:c r="S835" s="9" t="n">
        <x:v>206</x:v>
      </x:c>
      <x:c r="T835" s="9" t="str">
        <x:v>deede8b56943df4f914be45dba170f12e69064023d6ef0e88dbde1764f6ba23e</x:v>
      </x:c>
      <x:c r="U835" s="9" t="str">
        <x:v>W_SKIRTS_AVGPAID_1500_1600_ANNUAL2026</x:v>
      </x:c>
      <x:c r="V835" s="9" t="str">
        <x:v>W_SKIRTS_AVGPAID_1500_1600_ANNUAL2026.xlsx / 默认 / 第206行 / SHA256 deede8b56943df4f914be45dba170f12e69064023d6ef0e88dbde1764f6ba23e</x:v>
      </x:c>
    </x:row>
    <x:row r="836" ht="58" customHeight="1">
      <x:c r="A836" s="23" t="str">
        <x:v>1019023011903</x:v>
      </x:c>
      <x:c r="B836" s="22"/>
      <x:c r="C836" s="22"/>
      <x:c r="D836" s="22"/>
      <x:c r="E836" s="9" t="str">
        <x:v>裙长未明确</x:v>
      </x:c>
      <x:c r="F836" s="9" t="str">
        <x:v>裙装</x:v>
      </x:c>
      <x:c r="G836" s="9" t="str">
        <x:v>半身裙</x:v>
      </x:c>
      <x:c r="H836" s="9" t="str">
        <x:v>女</x:v>
      </x:c>
      <x:c r="I836" s="9" t="str">
        <x:v>Theory Outlet 女装 聚酯纤维立体拼缝花苞半裙 P0605302</x:v>
      </x:c>
      <x:c r="J836" s="9" t="str">
        <x:v>THEORY</x:v>
      </x:c>
      <x:c r="K836" s="24" t="n">
        <x:v>1546.55</x:v>
      </x:c>
      <x:c r="L836" s="25" t="e">
        <x:f>HYPERLINK("https://item.taobao.com/item.htm?id=1019023011903","打开商品")</x:f>
        <x:v>HYPERLINK is not implemented. linkLocation=https://item.taobao.com/item.htm?id=1019023011903, friendlyName=打开商品</x:v>
      </x:c>
      <x:c r="M836" s="25" t="e">
        <x:f>HYPERLINK("https://data.zhiyitech.cn/itemDetail/overview/base?itemId=1019023011903","打开知衣")</x:f>
        <x:v>HYPERLINK is not implemented. linkLocation=https://data.zhiyitech.cn/itemDetail/overview/base?itemId=1019023011903, friendlyName=打开知衣</x:v>
      </x:c>
      <x:c r="N836" s="25" t="e">
        <x:f>HYPERLINK("https://img.alicdn.com/bao/uploaded/i1/2208053082956/O1CN01uP8StQ1XhtukXNDDR_!!2208053082956.jpg","查看主图")</x:f>
        <x:v>HYPERLINK is not implemented. linkLocation=https://img.alicdn.com/bao/uploaded/i1/2208053082956/O1CN01uP8StQ1XhtukXNDDR_!!2208053082956.jpg, friendlyName=查看主图</x:v>
      </x:c>
      <x:c r="O836" s="9" t="str">
        <x:v>标题及既有类目语义复核；Theory Outlet 女装 聚酯纤维立体拼缝花苞半裙 P0605302；原类目及标题已能确认半身裙；展示使用已知大类，未知裙长下沉到结构字段，不强猜长短。</x:v>
      </x:c>
      <x:c r="P836" s="9" t="str">
        <x:v>普通男女装</x:v>
      </x:c>
      <x:c r="Q836" s="9" t="str">
        <x:v>W_SKIRTS_AVGPAID_1500_1600_ANNUAL2026.xlsx</x:v>
      </x:c>
      <x:c r="R836" s="9" t="str">
        <x:v>默认</x:v>
      </x:c>
      <x:c r="S836" s="9" t="n">
        <x:v>370</x:v>
      </x:c>
      <x:c r="T836" s="9" t="str">
        <x:v>deede8b56943df4f914be45dba170f12e69064023d6ef0e88dbde1764f6ba23e</x:v>
      </x:c>
      <x:c r="U836" s="9" t="str">
        <x:v>W_SKIRTS_AVGPAID_1500_1600_ANNUAL2026</x:v>
      </x:c>
      <x:c r="V836" s="9" t="str">
        <x:v>W_SKIRTS_AVGPAID_1500_1600_ANNUAL2026.xlsx / 默认 / 第370行 / SHA256 deede8b56943df4f914be45dba170f12e69064023d6ef0e88dbde1764f6ba23e</x:v>
      </x:c>
    </x:row>
    <x:row r="837" ht="58" customHeight="1">
      <x:c r="A837" s="23" t="str">
        <x:v>1028311183267</x:v>
      </x:c>
      <x:c r="B837" s="22"/>
      <x:c r="C837" s="22"/>
      <x:c r="D837" s="22"/>
      <x:c r="E837" s="9" t="str">
        <x:v>裙长未明确</x:v>
      </x:c>
      <x:c r="F837" s="9" t="str">
        <x:v>裙装</x:v>
      </x:c>
      <x:c r="G837" s="9" t="str">
        <x:v>半身裙</x:v>
      </x:c>
      <x:c r="H837" s="9" t="str">
        <x:v>女</x:v>
      </x:c>
      <x:c r="I837" s="9" t="str">
        <x:v>Theory Outlet亚麻混纺半身裙</x:v>
      </x:c>
      <x:c r="J837" s="9" t="str">
        <x:v>THEORY</x:v>
      </x:c>
      <x:c r="K837" s="24" t="n">
        <x:v>1556.82</x:v>
      </x:c>
      <x:c r="L837" s="25" t="e">
        <x:f>HYPERLINK("https://item.taobao.com/item.htm?id=1028311183267","打开商品")</x:f>
        <x:v>HYPERLINK is not implemented. linkLocation=https://item.taobao.com/item.htm?id=1028311183267, friendlyName=打开商品</x:v>
      </x:c>
      <x:c r="M837" s="25" t="e">
        <x:f>HYPERLINK("https://data.zhiyitech.cn/itemDetail/overview/base?itemId=1028311183267","打开知衣")</x:f>
        <x:v>HYPERLINK is not implemented. linkLocation=https://data.zhiyitech.cn/itemDetail/overview/base?itemId=1028311183267, friendlyName=打开知衣</x:v>
      </x:c>
      <x:c r="N837" s="25" t="e">
        <x:f>HYPERLINK("https://img.alicdn.com/bao/uploaded/i3/2208053082956/O1CN01dSCQy71XhtvOEOOzR_!!2208053082956.jpg","查看主图")</x:f>
        <x:v>HYPERLINK is not implemented. linkLocation=https://img.alicdn.com/bao/uploaded/i3/2208053082956/O1CN01dSCQy71XhtvOEOOzR_!!2208053082956.jpg, friendlyName=查看主图</x:v>
      </x:c>
      <x:c r="O837" s="9" t="str">
        <x:v>标题及既有类目语义复核；Theory Outlet亚麻混纺半身裙；原类目及标题已能确认半身裙；展示使用已知大类，未知裙长下沉到结构字段，不强猜长短。</x:v>
      </x:c>
      <x:c r="P837" s="9" t="str">
        <x:v>普通男女装</x:v>
      </x:c>
      <x:c r="Q837" s="9" t="str">
        <x:v>W_SKIRTS_AVGPAID_1500_1600_ANNUAL2026.xlsx</x:v>
      </x:c>
      <x:c r="R837" s="9" t="str">
        <x:v>默认</x:v>
      </x:c>
      <x:c r="S837" s="9" t="n">
        <x:v>175</x:v>
      </x:c>
      <x:c r="T837" s="9" t="str">
        <x:v>deede8b56943df4f914be45dba170f12e69064023d6ef0e88dbde1764f6ba23e</x:v>
      </x:c>
      <x:c r="U837" s="9" t="str">
        <x:v>W_SKIRTS_AVGPAID_1500_1600_ANNUAL2026</x:v>
      </x:c>
      <x:c r="V837" s="9" t="str">
        <x:v>W_SKIRTS_AVGPAID_1500_1600_ANNUAL2026.xlsx / 默认 / 第175行 / SHA256 deede8b56943df4f914be45dba170f12e69064023d6ef0e88dbde1764f6ba23e</x:v>
      </x:c>
    </x:row>
    <x:row r="838" ht="58" customHeight="1">
      <x:c r="A838" s="23" t="str">
        <x:v>1030522488470</x:v>
      </x:c>
      <x:c r="B838" s="22"/>
      <x:c r="C838" s="22"/>
      <x:c r="D838" s="22"/>
      <x:c r="E838" s="9" t="str">
        <x:v>裙长未明确</x:v>
      </x:c>
      <x:c r="F838" s="9" t="str">
        <x:v>裙装</x:v>
      </x:c>
      <x:c r="G838" s="9" t="str">
        <x:v>半身裙</x:v>
      </x:c>
      <x:c r="H838" s="9" t="str">
        <x:v>女</x:v>
      </x:c>
      <x:c r="I838" s="9" t="str">
        <x:v>Theory 女装 色丁围裹式褶裥半裙 Q0309303</x:v>
      </x:c>
      <x:c r="J838" s="9" t="str">
        <x:v>THEORY</x:v>
      </x:c>
      <x:c r="K838" s="24" t="n">
        <x:v>1516.08</x:v>
      </x:c>
      <x:c r="L838" s="25" t="e">
        <x:f>HYPERLINK("https://item.taobao.com/item.htm?id=1030522488470","打开商品")</x:f>
        <x:v>HYPERLINK is not implemented. linkLocation=https://item.taobao.com/item.htm?id=1030522488470, friendlyName=打开商品</x:v>
      </x:c>
      <x:c r="M838" s="25" t="e">
        <x:f>HYPERLINK("https://data.zhiyitech.cn/itemDetail/overview/base?itemId=1030522488470","打开知衣")</x:f>
        <x:v>HYPERLINK is not implemented. linkLocation=https://data.zhiyitech.cn/itemDetail/overview/base?itemId=1030522488470, friendlyName=打开知衣</x:v>
      </x:c>
      <x:c r="N838" s="25" t="e">
        <x:f>HYPERLINK("https://img.alicdn.com/bao/uploaded/i4/4060554880/O1CN01YddY977nfFH2vH2e_!!4060554880.jpg","查看主图")</x:f>
        <x:v>HYPERLINK is not implemented. linkLocation=https://img.alicdn.com/bao/uploaded/i4/4060554880/O1CN01YddY977nfFH2vH2e_!!4060554880.jpg, friendlyName=查看主图</x:v>
      </x:c>
      <x:c r="O838" s="9" t="str">
        <x:v>标题及既有类目语义复核；Theory 女装 色丁围裹式褶裥半裙 Q0309303；原类目及标题已能确认半身裙；展示使用已知大类，未知裙长下沉到结构字段，不强猜长短。</x:v>
      </x:c>
      <x:c r="P838" s="9" t="str">
        <x:v>普通男女装</x:v>
      </x:c>
      <x:c r="Q838" s="9" t="str">
        <x:v>W_SKIRTS_AVGPAID_1500_1600_ANNUAL2026.xlsx</x:v>
      </x:c>
      <x:c r="R838" s="9" t="str">
        <x:v>默认</x:v>
      </x:c>
      <x:c r="S838" s="9" t="n">
        <x:v>414</x:v>
      </x:c>
      <x:c r="T838" s="9" t="str">
        <x:v>deede8b56943df4f914be45dba170f12e69064023d6ef0e88dbde1764f6ba23e</x:v>
      </x:c>
      <x:c r="U838" s="9" t="str">
        <x:v>W_SKIRTS_AVGPAID_1500_1600_ANNUAL2026</x:v>
      </x:c>
      <x:c r="V838" s="9" t="str">
        <x:v>W_SKIRTS_AVGPAID_1500_1600_ANNUAL2026.xlsx / 默认 / 第414行 / SHA256 deede8b56943df4f914be45dba170f12e69064023d6ef0e88dbde1764f6ba23e</x:v>
      </x:c>
    </x:row>
    <x:row r="839" ht="58" customHeight="1">
      <x:c r="A839" s="23" t="str">
        <x:v>1051017223101</x:v>
      </x:c>
      <x:c r="B839" s="22"/>
      <x:c r="C839" s="22"/>
      <x:c r="D839" s="22"/>
      <x:c r="E839" s="9" t="str">
        <x:v>裙长未明确</x:v>
      </x:c>
      <x:c r="F839" s="9" t="str">
        <x:v>裙装</x:v>
      </x:c>
      <x:c r="G839" s="9" t="str">
        <x:v>半身裙</x:v>
      </x:c>
      <x:c r="H839" s="9" t="str">
        <x:v>女</x:v>
      </x:c>
      <x:c r="I839" s="9" t="str">
        <x:v>Theory 2026早秋女装 色丁垂坠裹身半裙 Q0605302</x:v>
      </x:c>
      <x:c r="J839" s="9" t="str">
        <x:v>THEORY</x:v>
      </x:c>
      <x:c r="K839" s="24" t="n">
        <x:v>1741.89</x:v>
      </x:c>
      <x:c r="L839" s="25" t="e">
        <x:f>HYPERLINK("https://item.taobao.com/item.htm?id=1051017223101","打开商品")</x:f>
        <x:v>HYPERLINK is not implemented. linkLocation=https://item.taobao.com/item.htm?id=1051017223101, friendlyName=打开商品</x:v>
      </x:c>
      <x:c r="M839" s="25" t="e">
        <x:f>HYPERLINK("https://data.zhiyitech.cn/itemDetail/overview/base?itemId=1051017223101","打开知衣")</x:f>
        <x:v>HYPERLINK is not implemented. linkLocation=https://data.zhiyitech.cn/itemDetail/overview/base?itemId=1051017223101, friendlyName=打开知衣</x:v>
      </x:c>
      <x:c r="N839" s="25" t="e">
        <x:f>HYPERLINK("https://img.alicdn.com/bao/uploaded/i1/4060554880/O1CN01Af6xvJKyIHI2vH2e_!!4060554880.jpg","查看主图")</x:f>
        <x:v>HYPERLINK is not implemented. linkLocation=https://img.alicdn.com/bao/uploaded/i1/4060554880/O1CN01Af6xvJKyIHI2vH2e_!!4060554880.jpg, friendlyName=查看主图</x:v>
      </x:c>
      <x:c r="O839" s="9" t="str">
        <x:v>标题及既有类目语义复核；Theory 2026早秋女装 色丁垂坠裹身半裙 Q0605302；原类目及标题已能确认半身裙；展示使用已知大类，未知裙长下沉到结构字段，不强猜长短。</x:v>
      </x:c>
      <x:c r="P839" s="9" t="str">
        <x:v>普通男女装</x:v>
      </x:c>
      <x:c r="Q839" s="9" t="str">
        <x:v>W_SKIRTS_AVGPAID_1700_1800_ANNUAL2026.xlsx</x:v>
      </x:c>
      <x:c r="R839" s="9" t="str">
        <x:v>默认</x:v>
      </x:c>
      <x:c r="S839" s="9" t="n">
        <x:v>106</x:v>
      </x:c>
      <x:c r="T839" s="9" t="str">
        <x:v>c25ed77c53c7c5cfcf728778a0e9b297d8689503f62756a939cbd534ca9b587a</x:v>
      </x:c>
      <x:c r="U839" s="9" t="str">
        <x:v>W_SKIRTS_AVGPAID_1700_1800_ANNUAL2026</x:v>
      </x:c>
      <x:c r="V839" s="9" t="str">
        <x:v>W_SKIRTS_AVGPAID_1700_1800_ANNUAL2026.xlsx / 默认 / 第106行 / SHA256 c25ed77c53c7c5cfcf728778a0e9b297d8689503f62756a939cbd534ca9b587a</x:v>
      </x:c>
    </x:row>
    <x:row r="840" ht="58" customHeight="1">
      <x:c r="A840" s="23" t="str">
        <x:v>1078231952186</x:v>
      </x:c>
      <x:c r="B840" s="22"/>
      <x:c r="C840" s="22"/>
      <x:c r="D840" s="22"/>
      <x:c r="E840" s="9" t="str">
        <x:v>裙长未明确</x:v>
      </x:c>
      <x:c r="F840" s="9" t="str">
        <x:v>裙装</x:v>
      </x:c>
      <x:c r="G840" s="9" t="str">
        <x:v>半身裙</x:v>
      </x:c>
      <x:c r="H840" s="9" t="str">
        <x:v>女</x:v>
      </x:c>
      <x:c r="I840" s="9" t="str">
        <x:v>Theory 2026秋冬女装 聚酯纤维百褶半身裙 Q075301R</x:v>
      </x:c>
      <x:c r="J840" s="9" t="str">
        <x:v>THEORY</x:v>
      </x:c>
      <x:c r="K840" s="24" t="n">
        <x:v>1587.35</x:v>
      </x:c>
      <x:c r="L840" s="25" t="e">
        <x:f>HYPERLINK("https://item.taobao.com/item.htm?id=1078231952186","打开商品")</x:f>
        <x:v>HYPERLINK is not implemented. linkLocation=https://item.taobao.com/item.htm?id=1078231952186, friendlyName=打开商品</x:v>
      </x:c>
      <x:c r="M840" s="25" t="e">
        <x:f>HYPERLINK("https://data.zhiyitech.cn/itemDetail/overview/base?itemId=1078231952186","打开知衣")</x:f>
        <x:v>HYPERLINK is not implemented. linkLocation=https://data.zhiyitech.cn/itemDetail/overview/base?itemId=1078231952186, friendlyName=打开知衣</x:v>
      </x:c>
      <x:c r="N840" s="25" t="e">
        <x:f>HYPERLINK("https://img.alicdn.com/bao/uploaded/i2/4060554880/O1CN01LRjeoDKKBBE2vH2e_!!4060554880.jpg","查看主图")</x:f>
        <x:v>HYPERLINK is not implemented. linkLocation=https://img.alicdn.com/bao/uploaded/i2/4060554880/O1CN01LRjeoDKKBBE2vH2e_!!4060554880.jpg, friendlyName=查看主图</x:v>
      </x:c>
      <x:c r="O840" s="9" t="str">
        <x:v>标题及既有类目语义复核；Theory 2026秋冬女装 聚酯纤维百褶半身裙 Q075301R；原类目及标题已能确认半身裙；展示使用已知大类，未知裙长下沉到结构字段，不强猜长短。</x:v>
      </x:c>
      <x:c r="P840" s="9" t="str">
        <x:v>普通男女装</x:v>
      </x:c>
      <x:c r="Q840" s="9" t="str">
        <x:v>W_SKIRTS_AVGPAID_1500_1600_ANNUAL2026.xlsx</x:v>
      </x:c>
      <x:c r="R840" s="9" t="str">
        <x:v>默认</x:v>
      </x:c>
      <x:c r="S840" s="9" t="n">
        <x:v>55</x:v>
      </x:c>
      <x:c r="T840" s="9" t="str">
        <x:v>deede8b56943df4f914be45dba170f12e69064023d6ef0e88dbde1764f6ba23e</x:v>
      </x:c>
      <x:c r="U840" s="9" t="str">
        <x:v>W_SKIRTS_AVGPAID_1500_1600_ANNUAL2026</x:v>
      </x:c>
      <x:c r="V840" s="9" t="str">
        <x:v>W_SKIRTS_AVGPAID_1500_1600_ANNUAL2026.xlsx / 默认 / 第55行 / SHA256 deede8b56943df4f914be45dba170f12e69064023d6ef0e88dbde1764f6ba23e</x:v>
      </x:c>
    </x:row>
    <x:row r="841" ht="58" customHeight="1">
      <x:c r="A841" s="23" t="str">
        <x:v>1084092500682</x:v>
      </x:c>
      <x:c r="B841" s="22"/>
      <x:c r="C841" s="22"/>
      <x:c r="D841" s="22"/>
      <x:c r="E841" s="9" t="str">
        <x:v>裙长未明确</x:v>
      </x:c>
      <x:c r="F841" s="9" t="str">
        <x:v>裙装</x:v>
      </x:c>
      <x:c r="G841" s="9" t="str">
        <x:v>半身裙</x:v>
      </x:c>
      <x:c r="H841" s="9" t="str">
        <x:v>女</x:v>
      </x:c>
      <x:c r="I841" s="9" t="str">
        <x:v>Theory 女装 桑蚕丝半身裙 O022302R</x:v>
      </x:c>
      <x:c r="J841" s="9" t="str">
        <x:v>THEORY</x:v>
      </x:c>
      <x:c r="K841" s="24" t="n">
        <x:v>1599.05</x:v>
      </x:c>
      <x:c r="L841" s="25" t="e">
        <x:f>HYPERLINK("https://item.taobao.com/item.htm?id=1084092500682","打开商品")</x:f>
        <x:v>HYPERLINK is not implemented. linkLocation=https://item.taobao.com/item.htm?id=1084092500682, friendlyName=打开商品</x:v>
      </x:c>
      <x:c r="M841" s="25" t="e">
        <x:f>HYPERLINK("https://data.zhiyitech.cn/itemDetail/overview/base?itemId=1084092500682","打开知衣")</x:f>
        <x:v>HYPERLINK is not implemented. linkLocation=https://data.zhiyitech.cn/itemDetail/overview/base?itemId=1084092500682, friendlyName=打开知衣</x:v>
      </x:c>
      <x:c r="N841" s="25" t="e">
        <x:f>HYPERLINK("https://img.alicdn.com/bao/uploaded/i1/4060554880/O1CN01UNLMbnJPO0H2vH2e_!!4060554880.jpg","查看主图")</x:f>
        <x:v>HYPERLINK is not implemented. linkLocation=https://img.alicdn.com/bao/uploaded/i1/4060554880/O1CN01UNLMbnJPO0H2vH2e_!!4060554880.jpg, friendlyName=查看主图</x:v>
      </x:c>
      <x:c r="O841" s="9" t="str">
        <x:v>标题及既有类目语义复核；Theory 女装 桑蚕丝半身裙 O022302R；原类目及标题已能确认半身裙；展示使用已知大类，未知裙长下沉到结构字段，不强猜长短。</x:v>
      </x:c>
      <x:c r="P841" s="9" t="str">
        <x:v>普通男女装</x:v>
      </x:c>
      <x:c r="Q841" s="9" t="str">
        <x:v>W_SKIRTS_AVGPAID_1500_1600_ANNUAL2026.xlsx</x:v>
      </x:c>
      <x:c r="R841" s="9" t="str">
        <x:v>默认</x:v>
      </x:c>
      <x:c r="S841" s="9" t="n">
        <x:v>329</x:v>
      </x:c>
      <x:c r="T841" s="9" t="str">
        <x:v>deede8b56943df4f914be45dba170f12e69064023d6ef0e88dbde1764f6ba23e</x:v>
      </x:c>
      <x:c r="U841" s="9" t="str">
        <x:v>W_SKIRTS_AVGPAID_1500_1600_ANNUAL2026</x:v>
      </x:c>
      <x:c r="V841" s="9" t="str">
        <x:v>W_SKIRTS_AVGPAID_1500_1600_ANNUAL2026.xlsx / 默认 / 第329行 / SHA256 deede8b56943df4f914be45dba170f12e69064023d6ef0e88dbde1764f6ba23e</x:v>
      </x:c>
    </x:row>
    <x:row r="842" ht="58" customHeight="1">
      <x:c r="A842" s="23" t="str">
        <x:v>889553091872</x:v>
      </x:c>
      <x:c r="B842" s="22"/>
      <x:c r="C842" s="22"/>
      <x:c r="D842" s="22"/>
      <x:c r="E842" s="9" t="str">
        <x:v>裙长未明确</x:v>
      </x:c>
      <x:c r="F842" s="9" t="str">
        <x:v>裙装</x:v>
      </x:c>
      <x:c r="G842" s="9" t="str">
        <x:v>半身裙</x:v>
      </x:c>
      <x:c r="H842" s="9" t="str">
        <x:v>女</x:v>
      </x:c>
      <x:c r="I842" s="9" t="str">
        <x:v>Theory桑蚕丝松紧腰半身裙</x:v>
      </x:c>
      <x:c r="J842" s="9" t="str">
        <x:v>THEORY</x:v>
      </x:c>
      <x:c r="K842" s="24" t="n">
        <x:v>1558.18</x:v>
      </x:c>
      <x:c r="L842" s="25" t="e">
        <x:f>HYPERLINK("https://item.taobao.com/item.htm?id=889553091872","打开商品")</x:f>
        <x:v>HYPERLINK is not implemented. linkLocation=https://item.taobao.com/item.htm?id=889553091872, friendlyName=打开商品</x:v>
      </x:c>
      <x:c r="M842" s="25" t="e">
        <x:f>HYPERLINK("https://data.zhiyitech.cn/itemDetail/overview/base?itemId=889553091872","打开知衣")</x:f>
        <x:v>HYPERLINK is not implemented. linkLocation=https://data.zhiyitech.cn/itemDetail/overview/base?itemId=889553091872, friendlyName=打开知衣</x:v>
      </x:c>
      <x:c r="N842" s="25" t="e">
        <x:f>HYPERLINK("https://img.alicdn.com/bao/uploaded/i3/4060554880/O1CN01guD7ks1lv5ucuOY2o_!!4060554880.jpg","查看主图")</x:f>
        <x:v>HYPERLINK is not implemented. linkLocation=https://img.alicdn.com/bao/uploaded/i3/4060554880/O1CN01guD7ks1lv5ucuOY2o_!!4060554880.jpg, friendlyName=查看主图</x:v>
      </x:c>
      <x:c r="O842" s="9" t="str">
        <x:v>标题及既有类目语义复核；Theory桑蚕丝松紧腰半身裙；原类目及标题已能确认半身裙；展示使用已知大类，未知裙长下沉到结构字段，不强猜长短。</x:v>
      </x:c>
      <x:c r="P842" s="9" t="str">
        <x:v>普通男女装</x:v>
      </x:c>
      <x:c r="Q842" s="9" t="str">
        <x:v>W_SKIRTS_AVGPAID_1500_1600_ANNUAL2026.xlsx</x:v>
      </x:c>
      <x:c r="R842" s="9" t="str">
        <x:v>默认</x:v>
      </x:c>
      <x:c r="S842" s="9" t="n">
        <x:v>421</x:v>
      </x:c>
      <x:c r="T842" s="9" t="str">
        <x:v>deede8b56943df4f914be45dba170f12e69064023d6ef0e88dbde1764f6ba23e</x:v>
      </x:c>
      <x:c r="U842" s="9" t="str">
        <x:v>W_SKIRTS_AVGPAID_1500_1600_ANNUAL2026</x:v>
      </x:c>
      <x:c r="V842" s="9" t="str">
        <x:v>W_SKIRTS_AVGPAID_1500_1600_ANNUAL2026.xlsx / 默认 / 第421行 / SHA256 deede8b56943df4f914be45dba170f12e69064023d6ef0e88dbde1764f6ba23e</x:v>
      </x:c>
    </x:row>
    <x:row r="843" ht="58" customHeight="1">
      <x:c r="A843" s="23" t="str">
        <x:v>1027930952466</x:v>
      </x:c>
      <x:c r="B843" s="22"/>
      <x:c r="C843" s="22"/>
      <x:c r="D843" s="22"/>
      <x:c r="E843" s="9" t="str">
        <x:v>裙长未明确</x:v>
      </x:c>
      <x:c r="F843" s="9" t="str">
        <x:v>裙装</x:v>
      </x:c>
      <x:c r="G843" s="9" t="str">
        <x:v>半身裙</x:v>
      </x:c>
      <x:c r="H843" s="9" t="str">
        <x:v>女</x:v>
      </x:c>
      <x:c r="I843" s="9" t="str">
        <x:v>【夏天粉丝专享】TNIT复古撞色拼接格纹碎花a字大摆半身裙</x:v>
      </x:c>
      <x:c r="J843" s="9" t="str">
        <x:v>TNIT</x:v>
      </x:c>
      <x:c r="K843" s="24" t="n">
        <x:v>1348.01</x:v>
      </x:c>
      <x:c r="L843" s="25" t="e">
        <x:f>HYPERLINK("https://item.taobao.com/item.htm?id=1027930952466","打开商品")</x:f>
        <x:v>HYPERLINK is not implemented. linkLocation=https://item.taobao.com/item.htm?id=1027930952466, friendlyName=打开商品</x:v>
      </x:c>
      <x:c r="M843" s="25" t="e">
        <x:f>HYPERLINK("https://data.zhiyitech.cn/itemDetail/overview/base?itemId=1027930952466","打开知衣")</x:f>
        <x:v>HYPERLINK is not implemented. linkLocation=https://data.zhiyitech.cn/itemDetail/overview/base?itemId=1027930952466, friendlyName=打开知衣</x:v>
      </x:c>
      <x:c r="N843" s="25" t="e">
        <x:f>HYPERLINK("https://img.alicdn.com/bao/uploaded/i4/2216816885640/O1CN01WNASqc1rXAw7UkBFJ_!!2216816885640.png","查看主图")</x:f>
        <x:v>HYPERLINK is not implemented. linkLocation=https://img.alicdn.com/bao/uploaded/i4/2216816885640/O1CN01WNASqc1rXAw7UkBFJ_!!2216816885640.png, friendlyName=查看主图</x:v>
      </x:c>
      <x:c r="O843" s="9" t="str">
        <x:v>标题及既有类目语义复核；【夏天粉丝专享】TNIT复古撞色拼接格纹碎花a字大摆半身裙；原类目及标题已能确认半身裙；展示使用已知大类，未知裙长下沉到结构字段，不强猜长短。</x:v>
      </x:c>
      <x:c r="P843" s="9" t="str">
        <x:v>普通男女装</x:v>
      </x:c>
      <x:c r="Q843" s="9" t="str">
        <x:v>W_SKIRTS_AVGPAID_1300_1400_ANNUAL2026.xlsx</x:v>
      </x:c>
      <x:c r="R843" s="9" t="str">
        <x:v>默认</x:v>
      </x:c>
      <x:c r="S843" s="9" t="n">
        <x:v>85</x:v>
      </x:c>
      <x:c r="T843" s="9" t="str">
        <x:v>bd4dae1e08e9eca7ddd0669235bf59107cdc418b9c2898fc16f36a7ab5748692</x:v>
      </x:c>
      <x:c r="U843" s="9" t="str">
        <x:v>W_SKIRTS_AVGPAID_1300_1400_ANNUAL2026</x:v>
      </x:c>
      <x:c r="V843" s="9" t="str">
        <x:v>W_SKIRTS_AVGPAID_1300_1400_ANNUAL2026.xlsx / 默认 / 第85行 / SHA256 bd4dae1e08e9eca7ddd0669235bf59107cdc418b9c2898fc16f36a7ab5748692</x:v>
      </x:c>
    </x:row>
    <x:row r="844" ht="58" customHeight="1">
      <x:c r="A844" s="23" t="str">
        <x:v>1081028846826</x:v>
      </x:c>
      <x:c r="B844" s="22"/>
      <x:c r="C844" s="22"/>
      <x:c r="D844" s="22"/>
      <x:c r="E844" s="9" t="str">
        <x:v>裙长未明确</x:v>
      </x:c>
      <x:c r="F844" s="9" t="str">
        <x:v>裙装</x:v>
      </x:c>
      <x:c r="G844" s="9" t="str">
        <x:v>半身裙</x:v>
      </x:c>
      <x:c r="H844" s="9" t="str">
        <x:v>女</x:v>
      </x:c>
      <x:c r="I844" s="9" t="str">
        <x:v>TOFOD 气球裙 西班牙植鞣油蜡小羊皮 弹力腰南瓜裙皮半裙小黑裙</x:v>
      </x:c>
      <x:c r="J844" s="9" t="str">
        <x:v>TOFOD</x:v>
      </x:c>
      <x:c r="K844" s="24" t="n">
        <x:v>1555.8</x:v>
      </x:c>
      <x:c r="L844" s="25" t="e">
        <x:f>HYPERLINK("https://item.taobao.com/item.htm?id=1081028846826","打开商品")</x:f>
        <x:v>HYPERLINK is not implemented. linkLocation=https://item.taobao.com/item.htm?id=1081028846826, friendlyName=打开商品</x:v>
      </x:c>
      <x:c r="M844" s="25" t="e">
        <x:f>HYPERLINK("https://data.zhiyitech.cn/itemDetail/overview/base?itemId=1081028846826","打开知衣")</x:f>
        <x:v>HYPERLINK is not implemented. linkLocation=https://data.zhiyitech.cn/itemDetail/overview/base?itemId=1081028846826, friendlyName=打开知衣</x:v>
      </x:c>
      <x:c r="N844" s="25" t="e">
        <x:f>HYPERLINK("https://img.alicdn.com/bao/uploaded/i1/40692055/O1CN01R2ijSkPN8KJ2vH2e_!!40692055.jpg","查看主图")</x:f>
        <x:v>HYPERLINK is not implemented. linkLocation=https://img.alicdn.com/bao/uploaded/i1/40692055/O1CN01R2ijSkPN8KJ2vH2e_!!40692055.jpg, friendlyName=查看主图</x:v>
      </x:c>
      <x:c r="O844" s="9" t="str">
        <x:v>标题及既有类目语义复核；TOFOD 气球裙 西班牙植鞣油蜡小羊皮 弹力腰南瓜裙皮半裙小黑裙；原类目及标题已能确认半身裙；展示使用已知大类，未知裙长下沉到结构字段，不强猜长短。</x:v>
      </x:c>
      <x:c r="P844" s="9" t="str">
        <x:v>普通男女装</x:v>
      </x:c>
      <x:c r="Q844" s="9" t="str">
        <x:v>W_SKIRTS_AVGPAID_1500_1600_ANNUAL2026.xlsx</x:v>
      </x:c>
      <x:c r="R844" s="9" t="str">
        <x:v>默认</x:v>
      </x:c>
      <x:c r="S844" s="9" t="n">
        <x:v>450</x:v>
      </x:c>
      <x:c r="T844" s="9" t="str">
        <x:v>deede8b56943df4f914be45dba170f12e69064023d6ef0e88dbde1764f6ba23e</x:v>
      </x:c>
      <x:c r="U844" s="9" t="str">
        <x:v>W_SKIRTS_AVGPAID_1500_1600_ANNUAL2026</x:v>
      </x:c>
      <x:c r="V844" s="9" t="str">
        <x:v>W_SKIRTS_AVGPAID_1500_1600_ANNUAL2026.xlsx / 默认 / 第450行 / SHA256 deede8b56943df4f914be45dba170f12e69064023d6ef0e88dbde1764f6ba23e</x:v>
      </x:c>
    </x:row>
    <x:row r="845" ht="58" customHeight="1">
      <x:c r="A845" s="23" t="str">
        <x:v>989586027221</x:v>
      </x:c>
      <x:c r="B845" s="22"/>
      <x:c r="C845" s="22"/>
      <x:c r="D845" s="22"/>
      <x:c r="E845" s="9" t="str">
        <x:v>裙长未明确</x:v>
      </x:c>
      <x:c r="F845" s="9" t="str">
        <x:v>裙装</x:v>
      </x:c>
      <x:c r="G845" s="9" t="str">
        <x:v>半身裙</x:v>
      </x:c>
      <x:c r="H845" s="9" t="str">
        <x:v>女</x:v>
      </x:c>
      <x:c r="I845" s="9" t="str">
        <x:v>【限时礼遇】TORY BURCH 汤丽柏琦 粗花呢半身裙 170830</x:v>
      </x:c>
      <x:c r="J845" s="9" t="str">
        <x:v>TORY BURCH/汤丽柏琦</x:v>
      </x:c>
      <x:c r="K845" s="24" t="n">
        <x:v>1710.26</x:v>
      </x:c>
      <x:c r="L845" s="25" t="e">
        <x:f>HYPERLINK("https://item.taobao.com/item.htm?id=989586027221","打开商品")</x:f>
        <x:v>HYPERLINK is not implemented. linkLocation=https://item.taobao.com/item.htm?id=989586027221, friendlyName=打开商品</x:v>
      </x:c>
      <x:c r="M845" s="25" t="e">
        <x:f>HYPERLINK("https://data.zhiyitech.cn/itemDetail/overview/base?itemId=989586027221","打开知衣")</x:f>
        <x:v>HYPERLINK is not implemented. linkLocation=https://data.zhiyitech.cn/itemDetail/overview/base?itemId=989586027221, friendlyName=打开知衣</x:v>
      </x:c>
      <x:c r="N845" s="25" t="e">
        <x:f>HYPERLINK("https://img.alicdn.com/bao/uploaded/i3/2200783279618/O1CN01p2Ve7z2Kv6TamBZql_!!2200783279618.jpg","查看主图")</x:f>
        <x:v>HYPERLINK is not implemented. linkLocation=https://img.alicdn.com/bao/uploaded/i3/2200783279618/O1CN01p2Ve7z2Kv6TamBZql_!!2200783279618.jpg, friendlyName=查看主图</x:v>
      </x:c>
      <x:c r="O845" s="9" t="str">
        <x:v>标题及既有类目语义复核；【限时礼遇】TORY BURCH 汤丽柏琦 粗花呢半身裙 170830；原类目及标题已能确认半身裙；展示使用已知大类，未知裙长下沉到结构字段，不强猜长短。</x:v>
      </x:c>
      <x:c r="P845" s="9" t="str">
        <x:v>普通男女装</x:v>
      </x:c>
      <x:c r="Q845" s="9" t="str">
        <x:v>W_SKIRTS_AVGPAID_1700_1800_ANNUAL2026.xlsx</x:v>
      </x:c>
      <x:c r="R845" s="9" t="str">
        <x:v>默认</x:v>
      </x:c>
      <x:c r="S845" s="9" t="n">
        <x:v>363</x:v>
      </x:c>
      <x:c r="T845" s="9" t="str">
        <x:v>c25ed77c53c7c5cfcf728778a0e9b297d8689503f62756a939cbd534ca9b587a</x:v>
      </x:c>
      <x:c r="U845" s="9" t="str">
        <x:v>W_SKIRTS_AVGPAID_1700_1800_ANNUAL2026</x:v>
      </x:c>
      <x:c r="V845" s="9" t="str">
        <x:v>W_SKIRTS_AVGPAID_1700_1800_ANNUAL2026.xlsx / 默认 / 第363行 / SHA256 c25ed77c53c7c5cfcf728778a0e9b297d8689503f62756a939cbd534ca9b587a</x:v>
      </x:c>
    </x:row>
    <x:row r="846" ht="58" customHeight="1">
      <x:c r="A846" s="23" t="str">
        <x:v>755000690391</x:v>
      </x:c>
      <x:c r="B846" s="22"/>
      <x:c r="C846" s="22"/>
      <x:c r="D846" s="22"/>
      <x:c r="E846" s="9" t="str">
        <x:v>裙长未明确</x:v>
      </x:c>
      <x:c r="F846" s="9" t="str">
        <x:v>裙装</x:v>
      </x:c>
      <x:c r="G846" s="9" t="str">
        <x:v>半身裙</x:v>
      </x:c>
      <x:c r="H846" s="9" t="str">
        <x:v>女</x:v>
      </x:c>
      <x:c r="I846" s="9" t="str">
        <x:v>TOTEME 黑色褶裥粘纤半身裹裙</x:v>
      </x:c>
      <x:c r="J846" s="9" t="str">
        <x:v>TOTEME</x:v>
      </x:c>
      <x:c r="K846" s="24" t="n">
        <x:v>1720.95</x:v>
      </x:c>
      <x:c r="L846" s="25" t="e">
        <x:f>HYPERLINK("https://item.taobao.com/item.htm?id=755000690391","打开商品")</x:f>
        <x:v>HYPERLINK is not implemented. linkLocation=https://item.taobao.com/item.htm?id=755000690391, friendlyName=打开商品</x:v>
      </x:c>
      <x:c r="M846" s="25" t="e">
        <x:f>HYPERLINK("https://data.zhiyitech.cn/itemDetail/overview/base?itemId=755000690391","打开知衣")</x:f>
        <x:v>HYPERLINK is not implemented. linkLocation=https://data.zhiyitech.cn/itemDetail/overview/base?itemId=755000690391, friendlyName=打开知衣</x:v>
      </x:c>
      <x:c r="N846" s="25" t="e">
        <x:f>HYPERLINK("https://img.alicdn.com/bao/uploaded/i4/2208998667003/O1CN01CY0Ebz21bQlS1sO2m_!!2208998667003.jpg","查看主图")</x:f>
        <x:v>HYPERLINK is not implemented. linkLocation=https://img.alicdn.com/bao/uploaded/i4/2208998667003/O1CN01CY0Ebz21bQlS1sO2m_!!2208998667003.jpg, friendlyName=查看主图</x:v>
      </x:c>
      <x:c r="O846" s="9" t="str">
        <x:v>标题及既有类目语义复核；TOTEME 黑色褶裥粘纤半身裹裙；原类目及标题已能确认半身裙；展示使用已知大类，未知裙长下沉到结构字段，不强猜长短。</x:v>
      </x:c>
      <x:c r="P846" s="9" t="str">
        <x:v>普通男女装</x:v>
      </x:c>
      <x:c r="Q846" s="9" t="str">
        <x:v>W_SKIRTS_AVGPAID_1700_1800_ANNUAL2026.xlsx</x:v>
      </x:c>
      <x:c r="R846" s="9" t="str">
        <x:v>默认</x:v>
      </x:c>
      <x:c r="S846" s="9" t="n">
        <x:v>423</x:v>
      </x:c>
      <x:c r="T846" s="9" t="str">
        <x:v>c25ed77c53c7c5cfcf728778a0e9b297d8689503f62756a939cbd534ca9b587a</x:v>
      </x:c>
      <x:c r="U846" s="9" t="str">
        <x:v>W_SKIRTS_AVGPAID_1700_1800_ANNUAL2026</x:v>
      </x:c>
      <x:c r="V846" s="9" t="str">
        <x:v>W_SKIRTS_AVGPAID_1700_1800_ANNUAL2026.xlsx / 默认 / 第423行 / SHA256 c25ed77c53c7c5cfcf728778a0e9b297d8689503f62756a939cbd534ca9b587a</x:v>
      </x:c>
    </x:row>
    <x:row r="847" ht="58" customHeight="1">
      <x:c r="A847" s="23" t="str">
        <x:v>766844562283</x:v>
      </x:c>
      <x:c r="B847" s="22"/>
      <x:c r="C847" s="22"/>
      <x:c r="D847" s="22"/>
      <x:c r="E847" s="9" t="str">
        <x:v>裙长未明确</x:v>
      </x:c>
      <x:c r="F847" s="9" t="str">
        <x:v>裙装</x:v>
      </x:c>
      <x:c r="G847" s="9" t="str">
        <x:v>半身裙</x:v>
      </x:c>
      <x:c r="H847" s="9" t="str">
        <x:v>女</x:v>
      </x:c>
      <x:c r="I847" s="9" t="str">
        <x:v>TOTEME 米黄色纹理感罗纹半身裙</x:v>
      </x:c>
      <x:c r="J847" s="9" t="str">
        <x:v>TOTEME</x:v>
      </x:c>
      <x:c r="K847" s="24" t="n">
        <x:v>1381.76</x:v>
      </x:c>
      <x:c r="L847" s="25" t="e">
        <x:f>HYPERLINK("https://item.taobao.com/item.htm?id=766844562283","打开商品")</x:f>
        <x:v>HYPERLINK is not implemented. linkLocation=https://item.taobao.com/item.htm?id=766844562283, friendlyName=打开商品</x:v>
      </x:c>
      <x:c r="M847" s="25" t="e">
        <x:f>HYPERLINK("https://data.zhiyitech.cn/itemDetail/overview/base?itemId=766844562283","打开知衣")</x:f>
        <x:v>HYPERLINK is not implemented. linkLocation=https://data.zhiyitech.cn/itemDetail/overview/base?itemId=766844562283, friendlyName=打开知衣</x:v>
      </x:c>
      <x:c r="N847" s="25" t="e">
        <x:f>HYPERLINK("https://img.alicdn.com/bao/uploaded/i4/2208998667003/O1CN01dFZXt021bQo2RqVkq_!!2208998667003.jpg","查看主图")</x:f>
        <x:v>HYPERLINK is not implemented. linkLocation=https://img.alicdn.com/bao/uploaded/i4/2208998667003/O1CN01dFZXt021bQo2RqVkq_!!2208998667003.jpg, friendlyName=查看主图</x:v>
      </x:c>
      <x:c r="O847" s="9" t="str">
        <x:v>标题及既有类目语义复核；TOTEME 米黄色纹理感罗纹半身裙；原类目及标题已能确认半身裙；展示使用已知大类，未知裙长下沉到结构字段，不强猜长短。</x:v>
      </x:c>
      <x:c r="P847" s="9" t="str">
        <x:v>普通男女装</x:v>
      </x:c>
      <x:c r="Q847" s="9" t="str">
        <x:v>W_SKIRTS_AVGPAID_1300_1400_ANNUAL2026.xlsx</x:v>
      </x:c>
      <x:c r="R847" s="9" t="str">
        <x:v>默认</x:v>
      </x:c>
      <x:c r="S847" s="9" t="n">
        <x:v>484</x:v>
      </x:c>
      <x:c r="T847" s="9" t="str">
        <x:v>bd4dae1e08e9eca7ddd0669235bf59107cdc418b9c2898fc16f36a7ab5748692</x:v>
      </x:c>
      <x:c r="U847" s="9" t="str">
        <x:v>W_SKIRTS_AVGPAID_1300_1400_ANNUAL2026</x:v>
      </x:c>
      <x:c r="V847" s="9" t="str">
        <x:v>W_SKIRTS_AVGPAID_1300_1400_ANNUAL2026.xlsx / 默认 / 第484行 / SHA256 bd4dae1e08e9eca7ddd0669235bf59107cdc418b9c2898fc16f36a7ab5748692</x:v>
      </x:c>
    </x:row>
    <x:row r="848" ht="58" customHeight="1">
      <x:c r="A848" s="23" t="str">
        <x:v>919451924866</x:v>
      </x:c>
      <x:c r="B848" s="22"/>
      <x:c r="C848" s="22"/>
      <x:c r="D848" s="22"/>
      <x:c r="E848" s="9" t="str">
        <x:v>裙长未明确</x:v>
      </x:c>
      <x:c r="F848" s="9" t="str">
        <x:v>裙装</x:v>
      </x:c>
      <x:c r="G848" s="9" t="str">
        <x:v>半身裙</x:v>
      </x:c>
      <x:c r="H848" s="9" t="str">
        <x:v>女</x:v>
      </x:c>
      <x:c r="I848" s="9" t="str">
        <x:v>TOTEME黑色抽绳半身裙</x:v>
      </x:c>
      <x:c r="J848" s="9" t="str">
        <x:v>TOTEME</x:v>
      </x:c>
      <x:c r="K848" s="24" t="n">
        <x:v>1711.93</x:v>
      </x:c>
      <x:c r="L848" s="25" t="e">
        <x:f>HYPERLINK("https://item.taobao.com/item.htm?id=919451924866","打开商品")</x:f>
        <x:v>HYPERLINK is not implemented. linkLocation=https://item.taobao.com/item.htm?id=919451924866, friendlyName=打开商品</x:v>
      </x:c>
      <x:c r="M848" s="25" t="e">
        <x:f>HYPERLINK("https://data.zhiyitech.cn/itemDetail/overview/base?itemId=919451924866","打开知衣")</x:f>
        <x:v>HYPERLINK is not implemented. linkLocation=https://data.zhiyitech.cn/itemDetail/overview/base?itemId=919451924866, friendlyName=打开知衣</x:v>
      </x:c>
      <x:c r="N848" s="25" t="e">
        <x:f>HYPERLINK("https://img.alicdn.com/bao/uploaded/i3/2208998667003/O1CN01AZddtDBgV4E1chua_!!2208998667003.jpg","查看主图")</x:f>
        <x:v>HYPERLINK is not implemented. linkLocation=https://img.alicdn.com/bao/uploaded/i3/2208998667003/O1CN01AZddtDBgV4E1chua_!!2208998667003.jpg, friendlyName=查看主图</x:v>
      </x:c>
      <x:c r="O848" s="9" t="str">
        <x:v>标题及既有类目语义复核；TOTEME黑色抽绳半身裙；原类目及标题已能确认半身裙；展示使用已知大类，未知裙长下沉到结构字段，不强猜长短。</x:v>
      </x:c>
      <x:c r="P848" s="9" t="str">
        <x:v>普通男女装</x:v>
      </x:c>
      <x:c r="Q848" s="9" t="str">
        <x:v>W_SKIRTS_AVGPAID_1700_1800_ANNUAL2026.xlsx</x:v>
      </x:c>
      <x:c r="R848" s="9" t="str">
        <x:v>默认</x:v>
      </x:c>
      <x:c r="S848" s="9" t="n">
        <x:v>30</x:v>
      </x:c>
      <x:c r="T848" s="9" t="str">
        <x:v>c25ed77c53c7c5cfcf728778a0e9b297d8689503f62756a939cbd534ca9b587a</x:v>
      </x:c>
      <x:c r="U848" s="9" t="str">
        <x:v>W_SKIRTS_AVGPAID_1700_1800_ANNUAL2026</x:v>
      </x:c>
      <x:c r="V848" s="9" t="str">
        <x:v>W_SKIRTS_AVGPAID_1700_1800_ANNUAL2026.xlsx / 默认 / 第30行 / SHA256 c25ed77c53c7c5cfcf728778a0e9b297d8689503f62756a939cbd534ca9b587a</x:v>
      </x:c>
    </x:row>
    <x:row r="849" ht="58" customHeight="1">
      <x:c r="A849" s="23" t="str">
        <x:v>1009133393376</x:v>
      </x:c>
      <x:c r="B849" s="22"/>
      <x:c r="C849" s="22"/>
      <x:c r="D849" s="22"/>
      <x:c r="E849" s="9" t="str">
        <x:v>裙长未明确</x:v>
      </x:c>
      <x:c r="F849" s="9" t="str">
        <x:v>裙装</x:v>
      </x:c>
      <x:c r="G849" s="9" t="str">
        <x:v>半身裙</x:v>
      </x:c>
      <x:c r="H849" s="9" t="str">
        <x:v>女</x:v>
      </x:c>
      <x:c r="I849" s="9" t="str">
        <x:v>复古咖色半身裙格纹加厚A字裙女</x:v>
      </x:c>
      <x:c r="J849" s="9" t="str">
        <x:v>TOUCH MISS/塔驰密司</x:v>
      </x:c>
      <x:c r="K849" s="24" t="n">
        <x:v>1702.65</x:v>
      </x:c>
      <x:c r="L849" s="25" t="e">
        <x:f>HYPERLINK("https://item.taobao.com/item.htm?id=1009133393376","打开商品")</x:f>
        <x:v>HYPERLINK is not implemented. linkLocation=https://item.taobao.com/item.htm?id=1009133393376, friendlyName=打开商品</x:v>
      </x:c>
      <x:c r="M849" s="25" t="e">
        <x:f>HYPERLINK("https://data.zhiyitech.cn/itemDetail/overview/base?itemId=1009133393376","打开知衣")</x:f>
        <x:v>HYPERLINK is not implemented. linkLocation=https://data.zhiyitech.cn/itemDetail/overview/base?itemId=1009133393376, friendlyName=打开知衣</x:v>
      </x:c>
      <x:c r="N849" s="25" t="e">
        <x:f>HYPERLINK("https://img.alicdn.com/bao/uploaded/i4/2929883646/O1CN01MrSQkL1cnvAeNwYl6_!!4611686018427386366-0-item_pic.jpg","查看主图")</x:f>
        <x:v>HYPERLINK is not implemented. linkLocation=https://img.alicdn.com/bao/uploaded/i4/2929883646/O1CN01MrSQkL1cnvAeNwYl6_!!4611686018427386366-0-item_pic.jpg, friendlyName=查看主图</x:v>
      </x:c>
      <x:c r="O849" s="9" t="str">
        <x:v>标题及既有类目语义复核；复古咖色半身裙格纹加厚A字裙女；原类目及标题已能确认半身裙；展示使用已知大类，未知裙长下沉到结构字段，不强猜长短。</x:v>
      </x:c>
      <x:c r="P849" s="9" t="str">
        <x:v>普通男女装</x:v>
      </x:c>
      <x:c r="Q849" s="9" t="str">
        <x:v>W_SKIRTS_AVGPAID_1700_1800_ANNUAL2026.xlsx</x:v>
      </x:c>
      <x:c r="R849" s="9" t="str">
        <x:v>默认</x:v>
      </x:c>
      <x:c r="S849" s="9" t="n">
        <x:v>229</x:v>
      </x:c>
      <x:c r="T849" s="9" t="str">
        <x:v>c25ed77c53c7c5cfcf728778a0e9b297d8689503f62756a939cbd534ca9b587a</x:v>
      </x:c>
      <x:c r="U849" s="9" t="str">
        <x:v>W_SKIRTS_AVGPAID_1700_1800_ANNUAL2026</x:v>
      </x:c>
      <x:c r="V849" s="9" t="str">
        <x:v>W_SKIRTS_AVGPAID_1700_1800_ANNUAL2026.xlsx / 默认 / 第229行 / SHA256 c25ed77c53c7c5cfcf728778a0e9b297d8689503f62756a939cbd534ca9b587a</x:v>
      </x:c>
    </x:row>
    <x:row r="850" ht="58" customHeight="1">
      <x:c r="A850" s="23" t="str">
        <x:v>1033696652150</x:v>
      </x:c>
      <x:c r="B850" s="22"/>
      <x:c r="C850" s="22"/>
      <x:c r="D850" s="22"/>
      <x:c r="E850" s="9" t="str">
        <x:v>裙长未明确</x:v>
      </x:c>
      <x:c r="F850" s="9" t="str">
        <x:v>裙装</x:v>
      </x:c>
      <x:c r="G850" s="9" t="str">
        <x:v>半身裙</x:v>
      </x:c>
      <x:c r="H850" s="9" t="str">
        <x:v>女</x:v>
      </x:c>
      <x:c r="I850" s="9" t="str">
        <x:v>TOUCH MISS优雅飘逸高腰半身裙女</x:v>
      </x:c>
      <x:c r="J850" s="9" t="str">
        <x:v>TOUCH MISS/塔驰密司</x:v>
      </x:c>
      <x:c r="K850" s="24" t="n">
        <x:v>1375.15</x:v>
      </x:c>
      <x:c r="L850" s="25" t="e">
        <x:f>HYPERLINK("https://item.taobao.com/item.htm?id=1033696652150","打开商品")</x:f>
        <x:v>HYPERLINK is not implemented. linkLocation=https://item.taobao.com/item.htm?id=1033696652150, friendlyName=打开商品</x:v>
      </x:c>
      <x:c r="M850" s="25" t="e">
        <x:f>HYPERLINK("https://data.zhiyitech.cn/itemDetail/overview/base?itemId=1033696652150","打开知衣")</x:f>
        <x:v>HYPERLINK is not implemented. linkLocation=https://data.zhiyitech.cn/itemDetail/overview/base?itemId=1033696652150, friendlyName=打开知衣</x:v>
      </x:c>
      <x:c r="N850" s="25" t="e">
        <x:f>HYPERLINK("https://img.alicdn.com/bao/uploaded/i1/1063665703/O1CN01WTB9I91s01tKHNzaC_!!1063665703.jpg","查看主图")</x:f>
        <x:v>HYPERLINK is not implemented. linkLocation=https://img.alicdn.com/bao/uploaded/i1/1063665703/O1CN01WTB9I91s01tKHNzaC_!!1063665703.jpg, friendlyName=查看主图</x:v>
      </x:c>
      <x:c r="O850" s="9" t="str">
        <x:v>标题及既有类目语义复核；TOUCH MISS优雅飘逸高腰半身裙女；原类目及标题已能确认半身裙；展示使用已知大类，未知裙长下沉到结构字段，不强猜长短。</x:v>
      </x:c>
      <x:c r="P850" s="9" t="str">
        <x:v>普通男女装</x:v>
      </x:c>
      <x:c r="Q850" s="9" t="str">
        <x:v>W_SKIRTS_AVGPAID_1300_1400_ANNUAL2026.xlsx</x:v>
      </x:c>
      <x:c r="R850" s="9" t="str">
        <x:v>默认</x:v>
      </x:c>
      <x:c r="S850" s="9" t="n">
        <x:v>425</x:v>
      </x:c>
      <x:c r="T850" s="9" t="str">
        <x:v>bd4dae1e08e9eca7ddd0669235bf59107cdc418b9c2898fc16f36a7ab5748692</x:v>
      </x:c>
      <x:c r="U850" s="9" t="str">
        <x:v>W_SKIRTS_AVGPAID_1300_1400_ANNUAL2026</x:v>
      </x:c>
      <x:c r="V850" s="9" t="str">
        <x:v>W_SKIRTS_AVGPAID_1300_1400_ANNUAL2026.xlsx / 默认 / 第425行 / SHA256 bd4dae1e08e9eca7ddd0669235bf59107cdc418b9c2898fc16f36a7ab5748692</x:v>
      </x:c>
    </x:row>
    <x:row r="851" ht="58" customHeight="1">
      <x:c r="A851" s="23" t="str">
        <x:v>1060047921673</x:v>
      </x:c>
      <x:c r="B851" s="22"/>
      <x:c r="C851" s="22"/>
      <x:c r="D851" s="22"/>
      <x:c r="E851" s="9" t="str">
        <x:v>裙长未明确</x:v>
      </x:c>
      <x:c r="F851" s="9" t="str">
        <x:v>裙装</x:v>
      </x:c>
      <x:c r="G851" s="9" t="str">
        <x:v>半身裙</x:v>
      </x:c>
      <x:c r="H851" s="9" t="str">
        <x:v>女</x:v>
      </x:c>
      <x:c r="I851" s="9" t="str">
        <x:v>TOUCH MISS气质红色半身裙2026夏季新款高腰碎花A字裙TM2048QQ</x:v>
      </x:c>
      <x:c r="J851" s="9" t="str">
        <x:v>TOUCH MISS/塔驰密司</x:v>
      </x:c>
      <x:c r="K851" s="24" t="n">
        <x:v>1795</x:v>
      </x:c>
      <x:c r="L851" s="25" t="e">
        <x:f>HYPERLINK("https://item.taobao.com/item.htm?id=1060047921673","打开商品")</x:f>
        <x:v>HYPERLINK is not implemented. linkLocation=https://item.taobao.com/item.htm?id=1060047921673, friendlyName=打开商品</x:v>
      </x:c>
      <x:c r="M851" s="25" t="e">
        <x:f>HYPERLINK("https://data.zhiyitech.cn/itemDetail/overview/base?itemId=1060047921673","打开知衣")</x:f>
        <x:v>HYPERLINK is not implemented. linkLocation=https://data.zhiyitech.cn/itemDetail/overview/base?itemId=1060047921673, friendlyName=打开知衣</x:v>
      </x:c>
      <x:c r="N851" s="25" t="e">
        <x:f>HYPERLINK("https://img.alicdn.com/bao/uploaded/i4/2929883646/O1CN01vylvTB1cnvCgBirlR_!!4611686018427386366-0-item_pic.jpg","查看主图")</x:f>
        <x:v>HYPERLINK is not implemented. linkLocation=https://img.alicdn.com/bao/uploaded/i4/2929883646/O1CN01vylvTB1cnvCgBirlR_!!4611686018427386366-0-item_pic.jpg, friendlyName=查看主图</x:v>
      </x:c>
      <x:c r="O851" s="9" t="str">
        <x:v>标题及既有类目语义复核；TOUCH MISS气质红色半身裙2026夏季新款高腰碎花A字裙TM2048QQ；原类目及标题已能确认半身裙；展示使用已知大类，未知裙长下沉到结构字段，不强猜长短。</x:v>
      </x:c>
      <x:c r="P851" s="9" t="str">
        <x:v>普通男女装</x:v>
      </x:c>
      <x:c r="Q851" s="9" t="str">
        <x:v>W_SKIRTS_AVGPAID_1700_1800_ANNUAL2026.xlsx</x:v>
      </x:c>
      <x:c r="R851" s="9" t="str">
        <x:v>默认</x:v>
      </x:c>
      <x:c r="S851" s="9" t="n">
        <x:v>345</x:v>
      </x:c>
      <x:c r="T851" s="9" t="str">
        <x:v>c25ed77c53c7c5cfcf728778a0e9b297d8689503f62756a939cbd534ca9b587a</x:v>
      </x:c>
      <x:c r="U851" s="9" t="str">
        <x:v>W_SKIRTS_AVGPAID_1700_1800_ANNUAL2026</x:v>
      </x:c>
      <x:c r="V851" s="9" t="str">
        <x:v>W_SKIRTS_AVGPAID_1700_1800_ANNUAL2026.xlsx / 默认 / 第345行 / SHA256 c25ed77c53c7c5cfcf728778a0e9b297d8689503f62756a939cbd534ca9b587a</x:v>
      </x:c>
    </x:row>
    <x:row r="852" ht="58" customHeight="1">
      <x:c r="A852" s="23" t="str">
        <x:v>943421625452</x:v>
      </x:c>
      <x:c r="B852" s="22"/>
      <x:c r="C852" s="22"/>
      <x:c r="D852" s="22"/>
      <x:c r="E852" s="9" t="str">
        <x:v>裙长未明确</x:v>
      </x:c>
      <x:c r="F852" s="9" t="str">
        <x:v>裙装</x:v>
      </x:c>
      <x:c r="G852" s="9" t="str">
        <x:v>半身裙</x:v>
      </x:c>
      <x:c r="H852" s="9" t="str">
        <x:v>女</x:v>
      </x:c>
      <x:c r="I852" s="9" t="str">
        <x:v>TOUCH MISS潮流蝴蝶印花半身裙女轻奢夏季新款开叉直筒裙TM8659QL</x:v>
      </x:c>
      <x:c r="J852" s="9" t="str">
        <x:v>TOUCH MISS/塔驰密司</x:v>
      </x:c>
      <x:c r="K852" s="24" t="n">
        <x:v>1514.21</x:v>
      </x:c>
      <x:c r="L852" s="25" t="e">
        <x:f>HYPERLINK("https://item.taobao.com/item.htm?id=943421625452","打开商品")</x:f>
        <x:v>HYPERLINK is not implemented. linkLocation=https://item.taobao.com/item.htm?id=943421625452, friendlyName=打开商品</x:v>
      </x:c>
      <x:c r="M852" s="25" t="e">
        <x:f>HYPERLINK("https://data.zhiyitech.cn/itemDetail/overview/base?itemId=943421625452","打开知衣")</x:f>
        <x:v>HYPERLINK is not implemented. linkLocation=https://data.zhiyitech.cn/itemDetail/overview/base?itemId=943421625452, friendlyName=打开知衣</x:v>
      </x:c>
      <x:c r="N852" s="25" t="e">
        <x:f>HYPERLINK("https://img.alicdn.com/bao/uploaded/i3/2929883646/O1CN01hcj0lQ1cnv7fcmPY3_!!4611686018427386366-0-item_pic.jpg","查看主图")</x:f>
        <x:v>HYPERLINK is not implemented. linkLocation=https://img.alicdn.com/bao/uploaded/i3/2929883646/O1CN01hcj0lQ1cnv7fcmPY3_!!4611686018427386366-0-item_pic.jpg, friendlyName=查看主图</x:v>
      </x:c>
      <x:c r="O852" s="9" t="str">
        <x:v>标题及既有类目语义复核；TOUCH MISS潮流蝴蝶印花半身裙女轻奢夏季新款开叉直筒裙TM8659QL；原类目及标题已能确认半身裙；展示使用已知大类，未知裙长下沉到结构字段，不强猜长短。</x:v>
      </x:c>
      <x:c r="P852" s="9" t="str">
        <x:v>普通男女装</x:v>
      </x:c>
      <x:c r="Q852" s="9" t="str">
        <x:v>W_SKIRTS_AVGPAID_1500_1600_ANNUAL2026.xlsx</x:v>
      </x:c>
      <x:c r="R852" s="9" t="str">
        <x:v>默认</x:v>
      </x:c>
      <x:c r="S852" s="9" t="n">
        <x:v>472</x:v>
      </x:c>
      <x:c r="T852" s="9" t="str">
        <x:v>deede8b56943df4f914be45dba170f12e69064023d6ef0e88dbde1764f6ba23e</x:v>
      </x:c>
      <x:c r="U852" s="9" t="str">
        <x:v>W_SKIRTS_AVGPAID_1500_1600_ANNUAL2026</x:v>
      </x:c>
      <x:c r="V852" s="9" t="str">
        <x:v>W_SKIRTS_AVGPAID_1500_1600_ANNUAL2026.xlsx / 默认 / 第472行 / SHA256 deede8b56943df4f914be45dba170f12e69064023d6ef0e88dbde1764f6ba23e</x:v>
      </x:c>
    </x:row>
    <x:row r="853" ht="58" customHeight="1">
      <x:c r="A853" s="23" t="str">
        <x:v>988406272878</x:v>
      </x:c>
      <x:c r="B853" s="22"/>
      <x:c r="C853" s="22"/>
      <x:c r="D853" s="22"/>
      <x:c r="E853" s="9" t="str">
        <x:v>裙长未明确</x:v>
      </x:c>
      <x:c r="F853" s="9" t="str">
        <x:v>裙装</x:v>
      </x:c>
      <x:c r="G853" s="9" t="str">
        <x:v>半身裙</x:v>
      </x:c>
      <x:c r="H853" s="9" t="str">
        <x:v>女</x:v>
      </x:c>
      <x:c r="I853" s="9" t="str">
        <x:v>TOUCH MISS气质黑色半身裙轻奢冬季新款加厚开叉A字裙女TM9837QQ</x:v>
      </x:c>
      <x:c r="J853" s="9" t="str">
        <x:v>TOUCH MISS/塔驰密司</x:v>
      </x:c>
      <x:c r="K853" s="24" t="n">
        <x:v>1571.52</x:v>
      </x:c>
      <x:c r="L853" s="25" t="e">
        <x:f>HYPERLINK("https://item.taobao.com/item.htm?id=988406272878","打开商品")</x:f>
        <x:v>HYPERLINK is not implemented. linkLocation=https://item.taobao.com/item.htm?id=988406272878, friendlyName=打开商品</x:v>
      </x:c>
      <x:c r="M853" s="25" t="e">
        <x:f>HYPERLINK("https://data.zhiyitech.cn/itemDetail/overview/base?itemId=988406272878","打开知衣")</x:f>
        <x:v>HYPERLINK is not implemented. linkLocation=https://data.zhiyitech.cn/itemDetail/overview/base?itemId=988406272878, friendlyName=打开知衣</x:v>
      </x:c>
      <x:c r="N853" s="25" t="e">
        <x:f>HYPERLINK("https://img.alicdn.com/bao/uploaded/i4/2929883646/O1CN01ILhKYL1cnv9WKh5ke_!!4611686018427386366-0-item_pic.jpg","查看主图")</x:f>
        <x:v>HYPERLINK is not implemented. linkLocation=https://img.alicdn.com/bao/uploaded/i4/2929883646/O1CN01ILhKYL1cnv9WKh5ke_!!4611686018427386366-0-item_pic.jpg, friendlyName=查看主图</x:v>
      </x:c>
      <x:c r="O853" s="9" t="str">
        <x:v>标题及既有类目语义复核；TOUCH MISS气质黑色半身裙轻奢冬季新款加厚开叉A字裙女TM9837QQ；原类目及标题已能确认半身裙；展示使用已知大类，未知裙长下沉到结构字段，不强猜长短。</x:v>
      </x:c>
      <x:c r="P853" s="9" t="str">
        <x:v>普通男女装</x:v>
      </x:c>
      <x:c r="Q853" s="9" t="str">
        <x:v>W_SKIRTS_AVGPAID_1500_1600_ANNUAL2026.xlsx</x:v>
      </x:c>
      <x:c r="R853" s="9" t="str">
        <x:v>默认</x:v>
      </x:c>
      <x:c r="S853" s="9" t="n">
        <x:v>287</x:v>
      </x:c>
      <x:c r="T853" s="9" t="str">
        <x:v>deede8b56943df4f914be45dba170f12e69064023d6ef0e88dbde1764f6ba23e</x:v>
      </x:c>
      <x:c r="U853" s="9" t="str">
        <x:v>W_SKIRTS_AVGPAID_1500_1600_ANNUAL2026</x:v>
      </x:c>
      <x:c r="V853" s="9" t="str">
        <x:v>W_SKIRTS_AVGPAID_1500_1600_ANNUAL2026.xlsx / 默认 / 第287行 / SHA256 deede8b56943df4f914be45dba170f12e69064023d6ef0e88dbde1764f6ba23e</x:v>
      </x:c>
    </x:row>
    <x:row r="854" ht="58" customHeight="1">
      <x:c r="A854" s="23" t="str">
        <x:v>988410667748</x:v>
      </x:c>
      <x:c r="B854" s="22"/>
      <x:c r="C854" s="22"/>
      <x:c r="D854" s="22"/>
      <x:c r="E854" s="9" t="str">
        <x:v>裙长未明确</x:v>
      </x:c>
      <x:c r="F854" s="9" t="str">
        <x:v>裙装</x:v>
      </x:c>
      <x:c r="G854" s="9" t="str">
        <x:v>半身裙</x:v>
      </x:c>
      <x:c r="H854" s="9" t="str">
        <x:v>女</x:v>
      </x:c>
      <x:c r="I854" s="9" t="str">
        <x:v>TOUCH MISS百搭黑色半身裙轻奢冬季新款优雅加厚鱼尾裙女TM9360QL</x:v>
      </x:c>
      <x:c r="J854" s="9" t="str">
        <x:v>TOUCH MISS/塔驰密司</x:v>
      </x:c>
      <x:c r="K854" s="24" t="n">
        <x:v>1702.18</x:v>
      </x:c>
      <x:c r="L854" s="25" t="e">
        <x:f>HYPERLINK("https://item.taobao.com/item.htm?id=988410667748","打开商品")</x:f>
        <x:v>HYPERLINK is not implemented. linkLocation=https://item.taobao.com/item.htm?id=988410667748, friendlyName=打开商品</x:v>
      </x:c>
      <x:c r="M854" s="25" t="e">
        <x:f>HYPERLINK("https://data.zhiyitech.cn/itemDetail/overview/base?itemId=988410667748","打开知衣")</x:f>
        <x:v>HYPERLINK is not implemented. linkLocation=https://data.zhiyitech.cn/itemDetail/overview/base?itemId=988410667748, friendlyName=打开知衣</x:v>
      </x:c>
      <x:c r="N854" s="25" t="e">
        <x:f>HYPERLINK("https://img.alicdn.com/bao/uploaded/i1/2929883646/O1CN01psXJP61cnv9jVIw7H_!!4611686018427386366-0-item_pic.jpg","查看主图")</x:f>
        <x:v>HYPERLINK is not implemented. linkLocation=https://img.alicdn.com/bao/uploaded/i1/2929883646/O1CN01psXJP61cnv9jVIw7H_!!4611686018427386366-0-item_pic.jpg, friendlyName=查看主图</x:v>
      </x:c>
      <x:c r="O854" s="9" t="str">
        <x:v>标题及既有类目语义复核；TOUCH MISS百搭黑色半身裙轻奢冬季新款优雅加厚鱼尾裙女TM9360QL；原类目及标题已能确认半身裙；展示使用已知大类，未知裙长下沉到结构字段，不强猜长短。</x:v>
      </x:c>
      <x:c r="P854" s="9" t="str">
        <x:v>普通男女装</x:v>
      </x:c>
      <x:c r="Q854" s="9" t="str">
        <x:v>W_SKIRTS_AVGPAID_1700_1800_ANNUAL2026.xlsx</x:v>
      </x:c>
      <x:c r="R854" s="9" t="str">
        <x:v>默认</x:v>
      </x:c>
      <x:c r="S854" s="9" t="n">
        <x:v>301</x:v>
      </x:c>
      <x:c r="T854" s="9" t="str">
        <x:v>c25ed77c53c7c5cfcf728778a0e9b297d8689503f62756a939cbd534ca9b587a</x:v>
      </x:c>
      <x:c r="U854" s="9" t="str">
        <x:v>W_SKIRTS_AVGPAID_1700_1800_ANNUAL2026</x:v>
      </x:c>
      <x:c r="V854" s="9" t="str">
        <x:v>W_SKIRTS_AVGPAID_1700_1800_ANNUAL2026.xlsx / 默认 / 第301行 / SHA256 c25ed77c53c7c5cfcf728778a0e9b297d8689503f62756a939cbd534ca9b587a</x:v>
      </x:c>
    </x:row>
    <x:row r="855" ht="58" customHeight="1">
      <x:c r="A855" s="23" t="str">
        <x:v>1054432070366</x:v>
      </x:c>
      <x:c r="B855" s="22"/>
      <x:c r="C855" s="22"/>
      <x:c r="D855" s="22"/>
      <x:c r="E855" s="9" t="str">
        <x:v>裙长未明确</x:v>
      </x:c>
      <x:c r="F855" s="9" t="str">
        <x:v>裙装</x:v>
      </x:c>
      <x:c r="G855" s="9" t="str">
        <x:v>半身裙</x:v>
      </x:c>
      <x:c r="H855" s="9" t="str">
        <x:v>女</x:v>
      </x:c>
      <x:c r="I855" s="9" t="str">
        <x:v>toughsen 日本天日干高密棉麻混纺松紧腰抽褶结构分割灯笼半身裙</x:v>
      </x:c>
      <x:c r="J855" s="9" t="str">
        <x:v>TOUGHSEN</x:v>
      </x:c>
      <x:c r="K855" s="24" t="n">
        <x:v>1532.53</x:v>
      </x:c>
      <x:c r="L855" s="25" t="e">
        <x:f>HYPERLINK("https://item.taobao.com/item.htm?id=1054432070366","打开商品")</x:f>
        <x:v>HYPERLINK is not implemented. linkLocation=https://item.taobao.com/item.htm?id=1054432070366, friendlyName=打开商品</x:v>
      </x:c>
      <x:c r="M855" s="25" t="e">
        <x:f>HYPERLINK("https://data.zhiyitech.cn/itemDetail/overview/base?itemId=1054432070366","打开知衣")</x:f>
        <x:v>HYPERLINK is not implemented. linkLocation=https://data.zhiyitech.cn/itemDetail/overview/base?itemId=1054432070366, friendlyName=打开知衣</x:v>
      </x:c>
      <x:c r="N855" s="25" t="e">
        <x:f>HYPERLINK("https://img.alicdn.com/bao/uploaded/i2/353081768/O1CN012CToBG1OvnO6i0Xq8_!!353081768.jpg","查看主图")</x:f>
        <x:v>HYPERLINK is not implemented. linkLocation=https://img.alicdn.com/bao/uploaded/i2/353081768/O1CN012CToBG1OvnO6i0Xq8_!!353081768.jpg, friendlyName=查看主图</x:v>
      </x:c>
      <x:c r="O855" s="9" t="str">
        <x:v>标题及既有类目语义复核；toughsen 日本天日干高密棉麻混纺松紧腰抽褶结构分割灯笼半身裙；原类目及标题已能确认半身裙；展示使用已知大类，未知裙长下沉到结构字段，不强猜长短。</x:v>
      </x:c>
      <x:c r="P855" s="9" t="str">
        <x:v>普通男女装</x:v>
      </x:c>
      <x:c r="Q855" s="9" t="str">
        <x:v>W_SKIRTS_AVGPAID_1500_1600_ANNUAL2026.xlsx</x:v>
      </x:c>
      <x:c r="R855" s="9" t="str">
        <x:v>默认</x:v>
      </x:c>
      <x:c r="S855" s="9" t="n">
        <x:v>375</x:v>
      </x:c>
      <x:c r="T855" s="9" t="str">
        <x:v>deede8b56943df4f914be45dba170f12e69064023d6ef0e88dbde1764f6ba23e</x:v>
      </x:c>
      <x:c r="U855" s="9" t="str">
        <x:v>W_SKIRTS_AVGPAID_1500_1600_ANNUAL2026</x:v>
      </x:c>
      <x:c r="V855" s="9" t="str">
        <x:v>W_SKIRTS_AVGPAID_1500_1600_ANNUAL2026.xlsx / 默认 / 第375行 / SHA256 deede8b56943df4f914be45dba170f12e69064023d6ef0e88dbde1764f6ba23e</x:v>
      </x:c>
    </x:row>
    <x:row r="856" ht="58" customHeight="1">
      <x:c r="A856" s="23" t="str">
        <x:v>978772284420</x:v>
      </x:c>
      <x:c r="B856" s="22"/>
      <x:c r="C856" s="22"/>
      <x:c r="D856" s="22"/>
      <x:c r="E856" s="9" t="str">
        <x:v>裙长未明确</x:v>
      </x:c>
      <x:c r="F856" s="9" t="str">
        <x:v>裙装</x:v>
      </x:c>
      <x:c r="G856" s="9" t="str">
        <x:v>半身裙</x:v>
      </x:c>
      <x:c r="H856" s="9" t="str">
        <x:v>女</x:v>
      </x:c>
      <x:c r="I856" s="9" t="str">
        <x:v>toughsen 日本进口棉麻混纺肌理感立体结构宽松廓形灯笼半裙</x:v>
      </x:c>
      <x:c r="J856" s="9" t="str">
        <x:v>TOUGHSEN</x:v>
      </x:c>
      <x:c r="K856" s="24" t="n">
        <x:v>1359.27</x:v>
      </x:c>
      <x:c r="L856" s="25" t="e">
        <x:f>HYPERLINK("https://item.taobao.com/item.htm?id=978772284420","打开商品")</x:f>
        <x:v>HYPERLINK is not implemented. linkLocation=https://item.taobao.com/item.htm?id=978772284420, friendlyName=打开商品</x:v>
      </x:c>
      <x:c r="M856" s="25" t="e">
        <x:f>HYPERLINK("https://data.zhiyitech.cn/itemDetail/overview/base?itemId=978772284420","打开知衣")</x:f>
        <x:v>HYPERLINK is not implemented. linkLocation=https://data.zhiyitech.cn/itemDetail/overview/base?itemId=978772284420, friendlyName=打开知衣</x:v>
      </x:c>
      <x:c r="N856" s="25" t="e">
        <x:f>HYPERLINK("https://img.alicdn.com/bao/uploaded/i2/353081768/O1CN01JbYXdf1OvnKpy7b7x_!!353081768.jpg","查看主图")</x:f>
        <x:v>HYPERLINK is not implemented. linkLocation=https://img.alicdn.com/bao/uploaded/i2/353081768/O1CN01JbYXdf1OvnKpy7b7x_!!353081768.jpg, friendlyName=查看主图</x:v>
      </x:c>
      <x:c r="O856" s="9" t="str">
        <x:v>标题及既有类目语义复核；toughsen 日本进口棉麻混纺肌理感立体结构宽松廓形灯笼半裙；原类目及标题已能确认半身裙；展示使用已知大类，未知裙长下沉到结构字段，不强猜长短。</x:v>
      </x:c>
      <x:c r="P856" s="9" t="str">
        <x:v>普通男女装</x:v>
      </x:c>
      <x:c r="Q856" s="9" t="str">
        <x:v>W_SKIRTS_AVGPAID_1300_1400_ANNUAL2026.xlsx</x:v>
      </x:c>
      <x:c r="R856" s="9" t="str">
        <x:v>默认</x:v>
      </x:c>
      <x:c r="S856" s="9" t="n">
        <x:v>337</x:v>
      </x:c>
      <x:c r="T856" s="9" t="str">
        <x:v>bd4dae1e08e9eca7ddd0669235bf59107cdc418b9c2898fc16f36a7ab5748692</x:v>
      </x:c>
      <x:c r="U856" s="9" t="str">
        <x:v>W_SKIRTS_AVGPAID_1300_1400_ANNUAL2026</x:v>
      </x:c>
      <x:c r="V856" s="9" t="str">
        <x:v>W_SKIRTS_AVGPAID_1300_1400_ANNUAL2026.xlsx / 默认 / 第337行 / SHA256 bd4dae1e08e9eca7ddd0669235bf59107cdc418b9c2898fc16f36a7ab5748692</x:v>
      </x:c>
    </x:row>
    <x:row r="857" ht="58" customHeight="1">
      <x:c r="A857" s="23" t="str">
        <x:v>956277750415</x:v>
      </x:c>
      <x:c r="B857" s="22"/>
      <x:c r="C857" s="22"/>
      <x:c r="D857" s="22"/>
      <x:c r="E857" s="9" t="str">
        <x:v>裙长未明确</x:v>
      </x:c>
      <x:c r="F857" s="9" t="str">
        <x:v>裙装</x:v>
      </x:c>
      <x:c r="G857" s="9" t="str">
        <x:v>半身裙</x:v>
      </x:c>
      <x:c r="H857" s="9" t="str">
        <x:v>女</x:v>
      </x:c>
      <x:c r="I857" s="9" t="str">
        <x:v>TRINITE*Asymmetric Skirt灰色/黑色条纹错位解构不对称西服半裙</x:v>
      </x:c>
      <x:c r="J857" s="9" t="str">
        <x:v>TRINITESTUDIO</x:v>
      </x:c>
      <x:c r="K857" s="24" t="n">
        <x:v>1399.95</x:v>
      </x:c>
      <x:c r="L857" s="25" t="e">
        <x:f>HYPERLINK("https://item.taobao.com/item.htm?id=956277750415","打开商品")</x:f>
        <x:v>HYPERLINK is not implemented. linkLocation=https://item.taobao.com/item.htm?id=956277750415, friendlyName=打开商品</x:v>
      </x:c>
      <x:c r="M857" s="25" t="e">
        <x:f>HYPERLINK("https://data.zhiyitech.cn/itemDetail/overview/base?itemId=956277750415","打开知衣")</x:f>
        <x:v>HYPERLINK is not implemented. linkLocation=https://data.zhiyitech.cn/itemDetail/overview/base?itemId=956277750415, friendlyName=打开知衣</x:v>
      </x:c>
      <x:c r="N857" s="25" t="e">
        <x:f>HYPERLINK("https://img.alicdn.com/bao/uploaded/i3/2938116526/O1CN012pFtH3wxxOB2vH2e_!!2938116526.jpg","查看主图")</x:f>
        <x:v>HYPERLINK is not implemented. linkLocation=https://img.alicdn.com/bao/uploaded/i3/2938116526/O1CN012pFtH3wxxOB2vH2e_!!2938116526.jpg, friendlyName=查看主图</x:v>
      </x:c>
      <x:c r="O857" s="9" t="str">
        <x:v>标题及既有类目语义复核；TRINITE*Asymmetric Skirt灰色/黑色条纹错位解构不对称西服半裙；原类目及标题已能确认半身裙；展示使用已知大类，未知裙长下沉到结构字段，不强猜长短。</x:v>
      </x:c>
      <x:c r="P857" s="9" t="str">
        <x:v>普通男女装</x:v>
      </x:c>
      <x:c r="Q857" s="9" t="str">
        <x:v>W_SKIRTS_AVGPAID_1300_1400_ANNUAL2026.xlsx</x:v>
      </x:c>
      <x:c r="R857" s="9" t="str">
        <x:v>默认</x:v>
      </x:c>
      <x:c r="S857" s="9" t="n">
        <x:v>21</x:v>
      </x:c>
      <x:c r="T857" s="9" t="str">
        <x:v>bd4dae1e08e9eca7ddd0669235bf59107cdc418b9c2898fc16f36a7ab5748692</x:v>
      </x:c>
      <x:c r="U857" s="9" t="str">
        <x:v>W_SKIRTS_AVGPAID_1300_1400_ANNUAL2026</x:v>
      </x:c>
      <x:c r="V857" s="9" t="str">
        <x:v>W_SKIRTS_AVGPAID_1300_1400_ANNUAL2026.xlsx / 默认 / 第21行 / SHA256 bd4dae1e08e9eca7ddd0669235bf59107cdc418b9c2898fc16f36a7ab5748692</x:v>
      </x:c>
    </x:row>
    <x:row r="858" ht="58" customHeight="1">
      <x:c r="A858" s="23" t="str">
        <x:v>844890006821</x:v>
      </x:c>
      <x:c r="B858" s="22"/>
      <x:c r="C858" s="22"/>
      <x:c r="D858" s="22"/>
      <x:c r="E858" s="9" t="str">
        <x:v>裙长未明确</x:v>
      </x:c>
      <x:c r="F858" s="9" t="str">
        <x:v>裙装</x:v>
      </x:c>
      <x:c r="G858" s="9" t="str">
        <x:v>半身裙</x:v>
      </x:c>
      <x:c r="H858" s="9" t="str">
        <x:v>女</x:v>
      </x:c>
      <x:c r="I858" s="9" t="str">
        <x:v>TU 100牦牛绒拉绒高腰鱼尾半身裙2026冬季新款疗愈绒感显瘦半裙</x:v>
      </x:c>
      <x:c r="J858" s="9" t="str">
        <x:v>TU</x:v>
      </x:c>
      <x:c r="K858" s="24" t="n">
        <x:v>1369.86</x:v>
      </x:c>
      <x:c r="L858" s="25" t="e">
        <x:f>HYPERLINK("https://item.taobao.com/item.htm?id=844890006821","打开商品")</x:f>
        <x:v>HYPERLINK is not implemented. linkLocation=https://item.taobao.com/item.htm?id=844890006821, friendlyName=打开商品</x:v>
      </x:c>
      <x:c r="M858" s="25" t="e">
        <x:f>HYPERLINK("https://data.zhiyitech.cn/itemDetail/overview/base?itemId=844890006821","打开知衣")</x:f>
        <x:v>HYPERLINK is not implemented. linkLocation=https://data.zhiyitech.cn/itemDetail/overview/base?itemId=844890006821, friendlyName=打开知衣</x:v>
      </x:c>
      <x:c r="N858" s="25" t="e">
        <x:f>HYPERLINK("https://img.alicdn.com/bao/uploaded/i1/2211361411885/O1CN01lYhs0t1PnNgBoKHUf_!!4611686018427384621-0-item_pic.jpg","查看主图")</x:f>
        <x:v>HYPERLINK is not implemented. linkLocation=https://img.alicdn.com/bao/uploaded/i1/2211361411885/O1CN01lYhs0t1PnNgBoKHUf_!!4611686018427384621-0-item_pic.jpg, friendlyName=查看主图</x:v>
      </x:c>
      <x:c r="O858" s="9" t="str">
        <x:v>标题及既有类目语义复核；TU 100牦牛绒拉绒高腰鱼尾半身裙2026冬季新款疗愈绒感显瘦半裙；原类目及标题已能确认半身裙；展示使用已知大类，未知裙长下沉到结构字段，不强猜长短。</x:v>
      </x:c>
      <x:c r="P858" s="9" t="str">
        <x:v>普通男女装</x:v>
      </x:c>
      <x:c r="Q858" s="9" t="str">
        <x:v>W_SKIRTS_AVGPAID_1300_1400_ANNUAL2026.xlsx</x:v>
      </x:c>
      <x:c r="R858" s="9" t="str">
        <x:v>默认</x:v>
      </x:c>
      <x:c r="S858" s="9" t="n">
        <x:v>108</x:v>
      </x:c>
      <x:c r="T858" s="9" t="str">
        <x:v>bd4dae1e08e9eca7ddd0669235bf59107cdc418b9c2898fc16f36a7ab5748692</x:v>
      </x:c>
      <x:c r="U858" s="9" t="str">
        <x:v>W_SKIRTS_AVGPAID_1300_1400_ANNUAL2026</x:v>
      </x:c>
      <x:c r="V858" s="9" t="str">
        <x:v>W_SKIRTS_AVGPAID_1300_1400_ANNUAL2026.xlsx / 默认 / 第108行 / SHA256 bd4dae1e08e9eca7ddd0669235bf59107cdc418b9c2898fc16f36a7ab5748692</x:v>
      </x:c>
    </x:row>
    <x:row r="859" ht="58" customHeight="1">
      <x:c r="A859" s="23" t="str">
        <x:v>975598670990</x:v>
      </x:c>
      <x:c r="B859" s="22"/>
      <x:c r="C859" s="22"/>
      <x:c r="D859" s="22"/>
      <x:c r="E859" s="9" t="str">
        <x:v>裙长未明确</x:v>
      </x:c>
      <x:c r="F859" s="9" t="str">
        <x:v>裙装</x:v>
      </x:c>
      <x:c r="G859" s="9" t="str">
        <x:v>半身裙</x:v>
      </x:c>
      <x:c r="H859" s="9" t="str">
        <x:v>女</x:v>
      </x:c>
      <x:c r="I859" s="9" t="str">
        <x:v>TU几何漫想 羊毛不对称半身裙女2026冬季新款格雷灰A字大摆半裙</x:v>
      </x:c>
      <x:c r="J859" s="9" t="str">
        <x:v>TU</x:v>
      </x:c>
      <x:c r="K859" s="24" t="n">
        <x:v>1356.93</x:v>
      </x:c>
      <x:c r="L859" s="25" t="e">
        <x:f>HYPERLINK("https://item.taobao.com/item.htm?id=975598670990","打开商品")</x:f>
        <x:v>HYPERLINK is not implemented. linkLocation=https://item.taobao.com/item.htm?id=975598670990, friendlyName=打开商品</x:v>
      </x:c>
      <x:c r="M859" s="25" t="e">
        <x:f>HYPERLINK("https://data.zhiyitech.cn/itemDetail/overview/base?itemId=975598670990","打开知衣")</x:f>
        <x:v>HYPERLINK is not implemented. linkLocation=https://data.zhiyitech.cn/itemDetail/overview/base?itemId=975598670990, friendlyName=打开知衣</x:v>
      </x:c>
      <x:c r="N859" s="25" t="e">
        <x:f>HYPERLINK("https://img.alicdn.com/bao/uploaded/i1/2211361411885/O1CN018XTFGu1PnNh6Hu38z_!!4611686018427384621-0-item_pic.jpg","查看主图")</x:f>
        <x:v>HYPERLINK is not implemented. linkLocation=https://img.alicdn.com/bao/uploaded/i1/2211361411885/O1CN018XTFGu1PnNh6Hu38z_!!4611686018427384621-0-item_pic.jpg, friendlyName=查看主图</x:v>
      </x:c>
      <x:c r="O859" s="9" t="str">
        <x:v>标题及既有类目语义复核；TU几何漫想 羊毛不对称半身裙女2026冬季新款格雷灰A字大摆半裙；原类目及标题已能确认半身裙；展示使用已知大类，未知裙长下沉到结构字段，不强猜长短。</x:v>
      </x:c>
      <x:c r="P859" s="9" t="str">
        <x:v>普通男女装</x:v>
      </x:c>
      <x:c r="Q859" s="9" t="str">
        <x:v>W_SKIRTS_AVGPAID_1300_1400_ANNUAL2026.xlsx</x:v>
      </x:c>
      <x:c r="R859" s="9" t="str">
        <x:v>默认</x:v>
      </x:c>
      <x:c r="S859" s="9" t="n">
        <x:v>251</x:v>
      </x:c>
      <x:c r="T859" s="9" t="str">
        <x:v>bd4dae1e08e9eca7ddd0669235bf59107cdc418b9c2898fc16f36a7ab5748692</x:v>
      </x:c>
      <x:c r="U859" s="9" t="str">
        <x:v>W_SKIRTS_AVGPAID_1300_1400_ANNUAL2026</x:v>
      </x:c>
      <x:c r="V859" s="9" t="str">
        <x:v>W_SKIRTS_AVGPAID_1300_1400_ANNUAL2026.xlsx / 默认 / 第251行 / SHA256 bd4dae1e08e9eca7ddd0669235bf59107cdc418b9c2898fc16f36a7ab5748692</x:v>
      </x:c>
    </x:row>
    <x:row r="860" ht="58" customHeight="1">
      <x:c r="A860" s="23" t="str">
        <x:v>1040150381981</x:v>
      </x:c>
      <x:c r="B860" s="22"/>
      <x:c r="C860" s="22"/>
      <x:c r="D860" s="22"/>
      <x:c r="E860" s="9" t="str">
        <x:v>裙长未明确</x:v>
      </x:c>
      <x:c r="F860" s="9" t="str">
        <x:v>裙装</x:v>
      </x:c>
      <x:c r="G860" s="9" t="str">
        <x:v>半身裙</x:v>
      </x:c>
      <x:c r="H860" s="9" t="str">
        <x:v>女</x:v>
      </x:c>
      <x:c r="I860" s="9" t="str">
        <x:v>【现货】设计师品牌UHOOWU26SS胶囊系列 丝绒腰头桑蚕丝豹纹半裙</x:v>
      </x:c>
      <x:c r="J860" s="9" t="str">
        <x:v>UHOO WU</x:v>
      </x:c>
      <x:c r="K860" s="24" t="n">
        <x:v>1546.22</x:v>
      </x:c>
      <x:c r="L860" s="25" t="e">
        <x:f>HYPERLINK("https://item.taobao.com/item.htm?id=1040150381981","打开商品")</x:f>
        <x:v>HYPERLINK is not implemented. linkLocation=https://item.taobao.com/item.htm?id=1040150381981, friendlyName=打开商品</x:v>
      </x:c>
      <x:c r="M860" s="25" t="e">
        <x:f>HYPERLINK("https://data.zhiyitech.cn/itemDetail/overview/base?itemId=1040150381981","打开知衣")</x:f>
        <x:v>HYPERLINK is not implemented. linkLocation=https://data.zhiyitech.cn/itemDetail/overview/base?itemId=1040150381981, friendlyName=打开知衣</x:v>
      </x:c>
      <x:c r="N860" s="25" t="e">
        <x:f>HYPERLINK("https://img.alicdn.com/bao/uploaded/i2/1112112482/O1CN01sSCZP9e906E1chua_!!1112112482.jpg","查看主图")</x:f>
        <x:v>HYPERLINK is not implemented. linkLocation=https://img.alicdn.com/bao/uploaded/i2/1112112482/O1CN01sSCZP9e906E1chua_!!1112112482.jpg, friendlyName=查看主图</x:v>
      </x:c>
      <x:c r="O860" s="9" t="str">
        <x:v>标题及既有类目语义复核；【现货】设计师品牌UHOOWU26SS胶囊系列 丝绒腰头桑蚕丝豹纹半裙；原类目及标题已能确认半身裙；展示使用已知大类，未知裙长下沉到结构字段，不强猜长短。</x:v>
      </x:c>
      <x:c r="P860" s="9" t="str">
        <x:v>普通男女装</x:v>
      </x:c>
      <x:c r="Q860" s="9" t="str">
        <x:v>W_SKIRTS_AVGPAID_1500_1600_ANNUAL2026.xlsx</x:v>
      </x:c>
      <x:c r="R860" s="9" t="str">
        <x:v>默认</x:v>
      </x:c>
      <x:c r="S860" s="9" t="n">
        <x:v>462</x:v>
      </x:c>
      <x:c r="T860" s="9" t="str">
        <x:v>deede8b56943df4f914be45dba170f12e69064023d6ef0e88dbde1764f6ba23e</x:v>
      </x:c>
      <x:c r="U860" s="9" t="str">
        <x:v>W_SKIRTS_AVGPAID_1500_1600_ANNUAL2026</x:v>
      </x:c>
      <x:c r="V860" s="9" t="str">
        <x:v>W_SKIRTS_AVGPAID_1500_1600_ANNUAL2026.xlsx / 默认 / 第462行 / SHA256 deede8b56943df4f914be45dba170f12e69064023d6ef0e88dbde1764f6ba23e</x:v>
      </x:c>
    </x:row>
    <x:row r="861" ht="58" customHeight="1">
      <x:c r="A861" s="23" t="str">
        <x:v>1035575207837</x:v>
      </x:c>
      <x:c r="B861" s="22"/>
      <x:c r="C861" s="22"/>
      <x:c r="D861" s="22"/>
      <x:c r="E861" s="9" t="str">
        <x:v>裙长未明确</x:v>
      </x:c>
      <x:c r="F861" s="9" t="str">
        <x:v>裙装</x:v>
      </x:c>
      <x:c r="G861" s="9" t="str">
        <x:v>半身裙</x:v>
      </x:c>
      <x:c r="H861" s="9" t="str">
        <x:v>女</x:v>
      </x:c>
      <x:c r="I861" s="9" t="str">
        <x:v>UN MUTE竖纹人丝顺纡皱印花斜拼接结构低腰鱼尾设计廓形半裙</x:v>
      </x:c>
      <x:c r="J861" s="9" t="str">
        <x:v>UN MUTE</x:v>
      </x:c>
      <x:c r="K861" s="24" t="n">
        <x:v>1369.95</x:v>
      </x:c>
      <x:c r="L861" s="25" t="e">
        <x:f>HYPERLINK("https://item.taobao.com/item.htm?id=1035575207837","打开商品")</x:f>
        <x:v>HYPERLINK is not implemented. linkLocation=https://item.taobao.com/item.htm?id=1035575207837, friendlyName=打开商品</x:v>
      </x:c>
      <x:c r="M861" s="25" t="e">
        <x:f>HYPERLINK("https://data.zhiyitech.cn/itemDetail/overview/base?itemId=1035575207837","打开知衣")</x:f>
        <x:v>HYPERLINK is not implemented. linkLocation=https://data.zhiyitech.cn/itemDetail/overview/base?itemId=1035575207837, friendlyName=打开知衣</x:v>
      </x:c>
      <x:c r="N861" s="25" t="e">
        <x:f>HYPERLINK("https://img.alicdn.com/bao/uploaded/i2/2219649254360/O1CN01YMXVNV1i4vyi8Y6Ld_!!4611686018427380696-0-item_pic.jpg","查看主图")</x:f>
        <x:v>HYPERLINK is not implemented. linkLocation=https://img.alicdn.com/bao/uploaded/i2/2219649254360/O1CN01YMXVNV1i4vyi8Y6Ld_!!4611686018427380696-0-item_pic.jpg, friendlyName=查看主图</x:v>
      </x:c>
      <x:c r="O861" s="9" t="str">
        <x:v>标题及既有类目语义复核；UN MUTE竖纹人丝顺纡皱印花斜拼接结构低腰鱼尾设计廓形半裙；原类目及标题已能确认半身裙；展示使用已知大类，未知裙长下沉到结构字段，不强猜长短。</x:v>
      </x:c>
      <x:c r="P861" s="9" t="str">
        <x:v>普通男女装</x:v>
      </x:c>
      <x:c r="Q861" s="9" t="str">
        <x:v>W_SKIRTS_AVGPAID_1300_1400_ANNUAL2026.xlsx</x:v>
      </x:c>
      <x:c r="R861" s="9" t="str">
        <x:v>默认</x:v>
      </x:c>
      <x:c r="S861" s="9" t="n">
        <x:v>253</x:v>
      </x:c>
      <x:c r="T861" s="9" t="str">
        <x:v>bd4dae1e08e9eca7ddd0669235bf59107cdc418b9c2898fc16f36a7ab5748692</x:v>
      </x:c>
      <x:c r="U861" s="9" t="str">
        <x:v>W_SKIRTS_AVGPAID_1300_1400_ANNUAL2026</x:v>
      </x:c>
      <x:c r="V861" s="9" t="str">
        <x:v>W_SKIRTS_AVGPAID_1300_1400_ANNUAL2026.xlsx / 默认 / 第253行 / SHA256 bd4dae1e08e9eca7ddd0669235bf59107cdc418b9c2898fc16f36a7ab5748692</x:v>
      </x:c>
    </x:row>
    <x:row r="862" ht="58" customHeight="1">
      <x:c r="A862" s="23" t="str">
        <x:v>988385315450</x:v>
      </x:c>
      <x:c r="B862" s="22"/>
      <x:c r="C862" s="22"/>
      <x:c r="D862" s="22"/>
      <x:c r="E862" s="9" t="str">
        <x:v>裙长未明确</x:v>
      </x:c>
      <x:c r="F862" s="9" t="str">
        <x:v>裙装</x:v>
      </x:c>
      <x:c r="G862" s="9" t="str">
        <x:v>半身裙</x:v>
      </x:c>
      <x:c r="H862" s="9" t="str">
        <x:v>女</x:v>
      </x:c>
      <x:c r="I862" s="9" t="str">
        <x:v>尢壹/UNIQUE'EEES【复古学院感】英式浪漫格纹短半裙U5515006</x:v>
      </x:c>
      <x:c r="J862" s="9" t="str">
        <x:v>UNIQUE'EEES</x:v>
      </x:c>
      <x:c r="K862" s="24" t="n">
        <x:v>1364.25</x:v>
      </x:c>
      <x:c r="L862" s="25" t="e">
        <x:f>HYPERLINK("https://item.taobao.com/item.htm?id=988385315450","打开商品")</x:f>
        <x:v>HYPERLINK is not implemented. linkLocation=https://item.taobao.com/item.htm?id=988385315450, friendlyName=打开商品</x:v>
      </x:c>
      <x:c r="M862" s="25" t="e">
        <x:f>HYPERLINK("https://data.zhiyitech.cn/itemDetail/overview/base?itemId=988385315450","打开知衣")</x:f>
        <x:v>HYPERLINK is not implemented. linkLocation=https://data.zhiyitech.cn/itemDetail/overview/base?itemId=988385315450, friendlyName=打开知衣</x:v>
      </x:c>
      <x:c r="N862" s="25" t="e">
        <x:f>HYPERLINK("https://img.alicdn.com/i1/2212074955631/O1CN01JFdV9v1rT3LWlx7GU_!!2212074955631.jpg","查看主图")</x:f>
        <x:v>HYPERLINK is not implemented. linkLocation=https://img.alicdn.com/i1/2212074955631/O1CN01JFdV9v1rT3LWlx7GU_!!2212074955631.jpg, friendlyName=查看主图</x:v>
      </x:c>
      <x:c r="O862" s="9" t="str">
        <x:v>标题及既有类目语义复核；尢壹/UNIQUE'EEES【复古学院感】英式浪漫格纹短半裙U5515006；原类目及标题已能确认半身裙；展示使用已知大类，未知裙长下沉到结构字段，不强猜长短。</x:v>
      </x:c>
      <x:c r="P862" s="9" t="str">
        <x:v>普通男女装</x:v>
      </x:c>
      <x:c r="Q862" s="9" t="str">
        <x:v>W_SKIRTS_AVGPAID_1300_1400_ANNUAL2026.xlsx</x:v>
      </x:c>
      <x:c r="R862" s="9" t="str">
        <x:v>默认</x:v>
      </x:c>
      <x:c r="S862" s="9" t="n">
        <x:v>267</x:v>
      </x:c>
      <x:c r="T862" s="9" t="str">
        <x:v>bd4dae1e08e9eca7ddd0669235bf59107cdc418b9c2898fc16f36a7ab5748692</x:v>
      </x:c>
      <x:c r="U862" s="9" t="str">
        <x:v>W_SKIRTS_AVGPAID_1300_1400_ANNUAL2026</x:v>
      </x:c>
      <x:c r="V862" s="9" t="str">
        <x:v>W_SKIRTS_AVGPAID_1300_1400_ANNUAL2026.xlsx / 默认 / 第267行 / SHA256 bd4dae1e08e9eca7ddd0669235bf59107cdc418b9c2898fc16f36a7ab5748692</x:v>
      </x:c>
    </x:row>
    <x:row r="863" ht="58" customHeight="1">
      <x:c r="A863" s="23" t="str">
        <x:v>1006715875511</x:v>
      </x:c>
      <x:c r="B863" s="22"/>
      <x:c r="C863" s="22"/>
      <x:c r="D863" s="22"/>
      <x:c r="E863" s="9" t="str">
        <x:v>裙长未明确</x:v>
      </x:c>
      <x:c r="F863" s="9" t="str">
        <x:v>裙装</x:v>
      </x:c>
      <x:c r="G863" s="9" t="str">
        <x:v>半身裙</x:v>
      </x:c>
      <x:c r="H863" s="9" t="str">
        <x:v>女</x:v>
      </x:c>
      <x:c r="I863" s="9" t="str">
        <x:v>UOOYAA/乌丫2026春季新款「奇幻嘉年华」古典木马丝绒半裙</x:v>
      </x:c>
      <x:c r="J863" s="9" t="str">
        <x:v>UOOYAA/乌丫</x:v>
      </x:c>
      <x:c r="K863" s="24" t="n">
        <x:v>1757.98</x:v>
      </x:c>
      <x:c r="L863" s="25" t="e">
        <x:f>HYPERLINK("https://item.taobao.com/item.htm?id=1006715875511","打开商品")</x:f>
        <x:v>HYPERLINK is not implemented. linkLocation=https://item.taobao.com/item.htm?id=1006715875511, friendlyName=打开商品</x:v>
      </x:c>
      <x:c r="M863" s="25" t="e">
        <x:f>HYPERLINK("https://data.zhiyitech.cn/itemDetail/overview/base?itemId=1006715875511","打开知衣")</x:f>
        <x:v>HYPERLINK is not implemented. linkLocation=https://data.zhiyitech.cn/itemDetail/overview/base?itemId=1006715875511, friendlyName=打开知衣</x:v>
      </x:c>
      <x:c r="N863" s="25" t="e">
        <x:f>HYPERLINK("https://img.alicdn.com/bao/uploaded/i1/2926449694/O1CN01QEih3U2LTuaDZzsgT_!!4611686018427384862-0-item_pic.jpg","查看主图")</x:f>
        <x:v>HYPERLINK is not implemented. linkLocation=https://img.alicdn.com/bao/uploaded/i1/2926449694/O1CN01QEih3U2LTuaDZzsgT_!!4611686018427384862-0-item_pic.jpg, friendlyName=查看主图</x:v>
      </x:c>
      <x:c r="O863" s="9" t="str">
        <x:v>标题及既有类目语义复核；UOOYAA/乌丫2026春季新款「奇幻嘉年华」古典木马丝绒半裙；原类目及标题已能确认半身裙；展示使用已知大类，未知裙长下沉到结构字段，不强猜长短。</x:v>
      </x:c>
      <x:c r="P863" s="9" t="str">
        <x:v>普通男女装</x:v>
      </x:c>
      <x:c r="Q863" s="9" t="str">
        <x:v>W_SKIRTS_AVGPAID_1700_1800_ANNUAL2026.xlsx</x:v>
      </x:c>
      <x:c r="R863" s="9" t="str">
        <x:v>默认</x:v>
      </x:c>
      <x:c r="S863" s="9" t="n">
        <x:v>183</x:v>
      </x:c>
      <x:c r="T863" s="9" t="str">
        <x:v>c25ed77c53c7c5cfcf728778a0e9b297d8689503f62756a939cbd534ca9b587a</x:v>
      </x:c>
      <x:c r="U863" s="9" t="str">
        <x:v>W_SKIRTS_AVGPAID_1700_1800_ANNUAL2026</x:v>
      </x:c>
      <x:c r="V863" s="9" t="str">
        <x:v>W_SKIRTS_AVGPAID_1700_1800_ANNUAL2026.xlsx / 默认 / 第183行 / SHA256 c25ed77c53c7c5cfcf728778a0e9b297d8689503f62756a939cbd534ca9b587a</x:v>
      </x:c>
    </x:row>
    <x:row r="864" ht="58" customHeight="1">
      <x:c r="A864" s="23" t="str">
        <x:v>1008162829790</x:v>
      </x:c>
      <x:c r="B864" s="22"/>
      <x:c r="C864" s="22"/>
      <x:c r="D864" s="22"/>
      <x:c r="E864" s="9" t="str">
        <x:v>裙长未明确</x:v>
      </x:c>
      <x:c r="F864" s="9" t="str">
        <x:v>裙装</x:v>
      </x:c>
      <x:c r="G864" s="9" t="str">
        <x:v>半身裙</x:v>
      </x:c>
      <x:c r="H864" s="9" t="str">
        <x:v>女</x:v>
      </x:c>
      <x:c r="I864" s="9" t="str">
        <x:v>UOOYAA/乌丫花卉印花蛋糕半裙</x:v>
      </x:c>
      <x:c r="J864" s="9" t="str">
        <x:v>UOOYAA/乌丫</x:v>
      </x:c>
      <x:c r="K864" s="24" t="n">
        <x:v>1798.32</x:v>
      </x:c>
      <x:c r="L864" s="25" t="e">
        <x:f>HYPERLINK("https://item.taobao.com/item.htm?id=1008162829790","打开商品")</x:f>
        <x:v>HYPERLINK is not implemented. linkLocation=https://item.taobao.com/item.htm?id=1008162829790, friendlyName=打开商品</x:v>
      </x:c>
      <x:c r="M864" s="25" t="e">
        <x:f>HYPERLINK("https://data.zhiyitech.cn/itemDetail/overview/base?itemId=1008162829790","打开知衣")</x:f>
        <x:v>HYPERLINK is not implemented. linkLocation=https://data.zhiyitech.cn/itemDetail/overview/base?itemId=1008162829790, friendlyName=打开知衣</x:v>
      </x:c>
      <x:c r="N864" s="25" t="e">
        <x:f>HYPERLINK("https://img.alicdn.com/bao/uploaded/i3/2926449694/O1CN01v2BEg72LTua6QUBml_!!4611686018427384862-0-item_pic.jpg","查看主图")</x:f>
        <x:v>HYPERLINK is not implemented. linkLocation=https://img.alicdn.com/bao/uploaded/i3/2926449694/O1CN01v2BEg72LTua6QUBml_!!4611686018427384862-0-item_pic.jpg, friendlyName=查看主图</x:v>
      </x:c>
      <x:c r="O864" s="9" t="str">
        <x:v>标题及既有类目语义复核；UOOYAA/乌丫花卉印花蛋糕半裙；原类目及标题已能确认半身裙；展示使用已知大类，未知裙长下沉到结构字段，不强猜长短。</x:v>
      </x:c>
      <x:c r="P864" s="9" t="str">
        <x:v>普通男女装</x:v>
      </x:c>
      <x:c r="Q864" s="9" t="str">
        <x:v>W_SKIRTS_AVGPAID_1700_1800_ANNUAL2026.xlsx</x:v>
      </x:c>
      <x:c r="R864" s="9" t="str">
        <x:v>默认</x:v>
      </x:c>
      <x:c r="S864" s="9" t="n">
        <x:v>139</x:v>
      </x:c>
      <x:c r="T864" s="9" t="str">
        <x:v>c25ed77c53c7c5cfcf728778a0e9b297d8689503f62756a939cbd534ca9b587a</x:v>
      </x:c>
      <x:c r="U864" s="9" t="str">
        <x:v>W_SKIRTS_AVGPAID_1700_1800_ANNUAL2026</x:v>
      </x:c>
      <x:c r="V864" s="9" t="str">
        <x:v>W_SKIRTS_AVGPAID_1700_1800_ANNUAL2026.xlsx / 默认 / 第139行 / SHA256 c25ed77c53c7c5cfcf728778a0e9b297d8689503f62756a939cbd534ca9b587a</x:v>
      </x:c>
    </x:row>
    <x:row r="865" ht="58" customHeight="1">
      <x:c r="A865" s="23" t="str">
        <x:v>1008163441194</x:v>
      </x:c>
      <x:c r="B865" s="22"/>
      <x:c r="C865" s="22"/>
      <x:c r="D865" s="22"/>
      <x:c r="E865" s="9" t="str">
        <x:v>裙长未明确</x:v>
      </x:c>
      <x:c r="F865" s="9" t="str">
        <x:v>裙装</x:v>
      </x:c>
      <x:c r="G865" s="9" t="str">
        <x:v>半身裙</x:v>
      </x:c>
      <x:c r="H865" s="9" t="str">
        <x:v>女</x:v>
      </x:c>
      <x:c r="I865" s="9" t="str">
        <x:v>UOOYAA/乌丫2026春季新款「魔法花园」花卉印花蛋糕短半裙</x:v>
      </x:c>
      <x:c r="J865" s="9" t="str">
        <x:v>UOOYAA/乌丫</x:v>
      </x:c>
      <x:c r="K865" s="24" t="n">
        <x:v>1308.04</x:v>
      </x:c>
      <x:c r="L865" s="25" t="e">
        <x:f>HYPERLINK("https://item.taobao.com/item.htm?id=1008163441194","打开商品")</x:f>
        <x:v>HYPERLINK is not implemented. linkLocation=https://item.taobao.com/item.htm?id=1008163441194, friendlyName=打开商品</x:v>
      </x:c>
      <x:c r="M865" s="25" t="e">
        <x:f>HYPERLINK("https://data.zhiyitech.cn/itemDetail/overview/base?itemId=1008163441194","打开知衣")</x:f>
        <x:v>HYPERLINK is not implemented. linkLocation=https://data.zhiyitech.cn/itemDetail/overview/base?itemId=1008163441194, friendlyName=打开知衣</x:v>
      </x:c>
      <x:c r="N865" s="25" t="e">
        <x:f>HYPERLINK("https://img.alicdn.com/bao/uploaded/i1/2926449694/O1CN01mrQhcl2LTua5en1r1_!!4611686018427384862-0-item_pic.jpg","查看主图")</x:f>
        <x:v>HYPERLINK is not implemented. linkLocation=https://img.alicdn.com/bao/uploaded/i1/2926449694/O1CN01mrQhcl2LTua5en1r1_!!4611686018427384862-0-item_pic.jpg, friendlyName=查看主图</x:v>
      </x:c>
      <x:c r="O865" s="9" t="str">
        <x:v>标题及既有类目语义复核；UOOYAA/乌丫2026春季新款「魔法花园」花卉印花蛋糕短半裙；原类目及标题已能确认半身裙；展示使用已知大类，未知裙长下沉到结构字段，不强猜长短。</x:v>
      </x:c>
      <x:c r="P865" s="9" t="str">
        <x:v>普通男女装</x:v>
      </x:c>
      <x:c r="Q865" s="9" t="str">
        <x:v>W_SKIRTS_AVGPAID_1300_1400_ANNUAL2026.xlsx</x:v>
      </x:c>
      <x:c r="R865" s="9" t="str">
        <x:v>默认</x:v>
      </x:c>
      <x:c r="S865" s="9" t="n">
        <x:v>356</x:v>
      </x:c>
      <x:c r="T865" s="9" t="str">
        <x:v>bd4dae1e08e9eca7ddd0669235bf59107cdc418b9c2898fc16f36a7ab5748692</x:v>
      </x:c>
      <x:c r="U865" s="9" t="str">
        <x:v>W_SKIRTS_AVGPAID_1300_1400_ANNUAL2026</x:v>
      </x:c>
      <x:c r="V865" s="9" t="str">
        <x:v>W_SKIRTS_AVGPAID_1300_1400_ANNUAL2026.xlsx / 默认 / 第356行 / SHA256 bd4dae1e08e9eca7ddd0669235bf59107cdc418b9c2898fc16f36a7ab5748692</x:v>
      </x:c>
    </x:row>
    <x:row r="866" ht="58" customHeight="1">
      <x:c r="A866" s="23" t="str">
        <x:v>1008915488197</x:v>
      </x:c>
      <x:c r="B866" s="22"/>
      <x:c r="C866" s="22"/>
      <x:c r="D866" s="22"/>
      <x:c r="E866" s="9" t="str">
        <x:v>裙长未明确</x:v>
      </x:c>
      <x:c r="F866" s="9" t="str">
        <x:v>裙装</x:v>
      </x:c>
      <x:c r="G866" s="9" t="str">
        <x:v>半身裙</x:v>
      </x:c>
      <x:c r="H866" s="9" t="str">
        <x:v>女</x:v>
      </x:c>
      <x:c r="I866" s="9" t="str">
        <x:v>UOOYAA/乌丫冷染花苞牛仔裙</x:v>
      </x:c>
      <x:c r="J866" s="9" t="str">
        <x:v>UOOYAA/乌丫</x:v>
      </x:c>
      <x:c r="K866" s="24" t="n">
        <x:v>1315.03</x:v>
      </x:c>
      <x:c r="L866" s="25" t="e">
        <x:f>HYPERLINK("https://item.taobao.com/item.htm?id=1008915488197","打开商品")</x:f>
        <x:v>HYPERLINK is not implemented. linkLocation=https://item.taobao.com/item.htm?id=1008915488197, friendlyName=打开商品</x:v>
      </x:c>
      <x:c r="M866" s="25" t="e">
        <x:f>HYPERLINK("https://data.zhiyitech.cn/itemDetail/overview/base?itemId=1008915488197","打开知衣")</x:f>
        <x:v>HYPERLINK is not implemented. linkLocation=https://data.zhiyitech.cn/itemDetail/overview/base?itemId=1008915488197, friendlyName=打开知衣</x:v>
      </x:c>
      <x:c r="N866" s="25" t="e">
        <x:f>HYPERLINK("https://img.alicdn.com/bao/uploaded/i4/2926449694/O1CN010rzllP2LTuaG9gIZf_!!4611686018427384862-0-item_pic.jpg","查看主图")</x:f>
        <x:v>HYPERLINK is not implemented. linkLocation=https://img.alicdn.com/bao/uploaded/i4/2926449694/O1CN010rzllP2LTuaG9gIZf_!!4611686018427384862-0-item_pic.jpg, friendlyName=查看主图</x:v>
      </x:c>
      <x:c r="O866" s="9" t="str">
        <x:v>标题及既有类目语义复核；UOOYAA/乌丫冷染花苞牛仔裙；原类目及标题已能确认半身裙；展示使用已知大类，未知裙长下沉到结构字段，不强猜长短。</x:v>
      </x:c>
      <x:c r="P866" s="9" t="str">
        <x:v>普通男女装</x:v>
      </x:c>
      <x:c r="Q866" s="9" t="str">
        <x:v>W_SKIRTS_AVGPAID_1300_1400_ANNUAL2026.xlsx</x:v>
      </x:c>
      <x:c r="R866" s="9" t="str">
        <x:v>默认</x:v>
      </x:c>
      <x:c r="S866" s="9" t="n">
        <x:v>498</x:v>
      </x:c>
      <x:c r="T866" s="9" t="str">
        <x:v>bd4dae1e08e9eca7ddd0669235bf59107cdc418b9c2898fc16f36a7ab5748692</x:v>
      </x:c>
      <x:c r="U866" s="9" t="str">
        <x:v>W_SKIRTS_AVGPAID_1300_1400_ANNUAL2026</x:v>
      </x:c>
      <x:c r="V866" s="9" t="str">
        <x:v>W_SKIRTS_AVGPAID_1300_1400_ANNUAL2026.xlsx / 默认 / 第498行 / SHA256 bd4dae1e08e9eca7ddd0669235bf59107cdc418b9c2898fc16f36a7ab5748692</x:v>
      </x:c>
    </x:row>
    <x:row r="867" ht="58" customHeight="1">
      <x:c r="A867" s="23" t="str">
        <x:v>1008923688998</x:v>
      </x:c>
      <x:c r="B867" s="22"/>
      <x:c r="C867" s="22"/>
      <x:c r="D867" s="22"/>
      <x:c r="E867" s="9" t="str">
        <x:v>裙长未明确</x:v>
      </x:c>
      <x:c r="F867" s="9" t="str">
        <x:v>裙装</x:v>
      </x:c>
      <x:c r="G867" s="9" t="str">
        <x:v>半身裙</x:v>
      </x:c>
      <x:c r="H867" s="9" t="str">
        <x:v>女</x:v>
      </x:c>
      <x:c r="I867" s="9" t="str">
        <x:v>UOOYAA/乌丫2026春季新款「奇幻都市」手工扎花花苞牛仔裙</x:v>
      </x:c>
      <x:c r="J867" s="9" t="str">
        <x:v>UOOYAA/乌丫</x:v>
      </x:c>
      <x:c r="K867" s="24" t="n">
        <x:v>1312.5</x:v>
      </x:c>
      <x:c r="L867" s="25" t="e">
        <x:f>HYPERLINK("https://item.taobao.com/item.htm?id=1008923688998","打开商品")</x:f>
        <x:v>HYPERLINK is not implemented. linkLocation=https://item.taobao.com/item.htm?id=1008923688998, friendlyName=打开商品</x:v>
      </x:c>
      <x:c r="M867" s="25" t="e">
        <x:f>HYPERLINK("https://data.zhiyitech.cn/itemDetail/overview/base?itemId=1008923688998","打开知衣")</x:f>
        <x:v>HYPERLINK is not implemented. linkLocation=https://data.zhiyitech.cn/itemDetail/overview/base?itemId=1008923688998, friendlyName=打开知衣</x:v>
      </x:c>
      <x:c r="N867" s="25" t="e">
        <x:f>HYPERLINK("https://img.alicdn.com/bao/uploaded/i2/2926449694/O1CN01oMJ7x82LTua8F9q8X_!!4611686018427384862-0-item_pic.jpg","查看主图")</x:f>
        <x:v>HYPERLINK is not implemented. linkLocation=https://img.alicdn.com/bao/uploaded/i2/2926449694/O1CN01oMJ7x82LTua8F9q8X_!!4611686018427384862-0-item_pic.jpg, friendlyName=查看主图</x:v>
      </x:c>
      <x:c r="O867" s="9" t="str">
        <x:v>标题及既有类目语义复核；UOOYAA/乌丫2026春季新款「奇幻都市」手工扎花花苞牛仔裙；原类目及标题已能确认半身裙；展示使用已知大类，未知裙长下沉到结构字段，不强猜长短。</x:v>
      </x:c>
      <x:c r="P867" s="9" t="str">
        <x:v>普通男女装</x:v>
      </x:c>
      <x:c r="Q867" s="9" t="str">
        <x:v>W_SKIRTS_AVGPAID_1300_1400_ANNUAL2026.xlsx</x:v>
      </x:c>
      <x:c r="R867" s="9" t="str">
        <x:v>默认</x:v>
      </x:c>
      <x:c r="S867" s="9" t="n">
        <x:v>329</x:v>
      </x:c>
      <x:c r="T867" s="9" t="str">
        <x:v>bd4dae1e08e9eca7ddd0669235bf59107cdc418b9c2898fc16f36a7ab5748692</x:v>
      </x:c>
      <x:c r="U867" s="9" t="str">
        <x:v>W_SKIRTS_AVGPAID_1300_1400_ANNUAL2026</x:v>
      </x:c>
      <x:c r="V867" s="9" t="str">
        <x:v>W_SKIRTS_AVGPAID_1300_1400_ANNUAL2026.xlsx / 默认 / 第329行 / SHA256 bd4dae1e08e9eca7ddd0669235bf59107cdc418b9c2898fc16f36a7ab5748692</x:v>
      </x:c>
    </x:row>
    <x:row r="868" ht="58" customHeight="1">
      <x:c r="A868" s="23" t="str">
        <x:v>1021395418899</x:v>
      </x:c>
      <x:c r="B868" s="22"/>
      <x:c r="C868" s="22"/>
      <x:c r="D868" s="22"/>
      <x:c r="E868" s="9" t="str">
        <x:v>裙长未明确</x:v>
      </x:c>
      <x:c r="F868" s="9" t="str">
        <x:v>裙装</x:v>
      </x:c>
      <x:c r="G868" s="9" t="str">
        <x:v>半身裙</x:v>
      </x:c>
      <x:c r="H868" s="9" t="str">
        <x:v>女</x:v>
      </x:c>
      <x:c r="I868" s="9" t="str">
        <x:v>UOOYAA/乌丫2026夏季新款Sports拼接式短半裙</x:v>
      </x:c>
      <x:c r="J868" s="9" t="str">
        <x:v>UOOYAA/乌丫</x:v>
      </x:c>
      <x:c r="K868" s="24" t="n">
        <x:v>1540.48</x:v>
      </x:c>
      <x:c r="L868" s="25" t="e">
        <x:f>HYPERLINK("https://item.taobao.com/item.htm?id=1021395418899","打开商品")</x:f>
        <x:v>HYPERLINK is not implemented. linkLocation=https://item.taobao.com/item.htm?id=1021395418899, friendlyName=打开商品</x:v>
      </x:c>
      <x:c r="M868" s="25" t="e">
        <x:f>HYPERLINK("https://data.zhiyitech.cn/itemDetail/overview/base?itemId=1021395418899","打开知衣")</x:f>
        <x:v>HYPERLINK is not implemented. linkLocation=https://data.zhiyitech.cn/itemDetail/overview/base?itemId=1021395418899, friendlyName=打开知衣</x:v>
      </x:c>
      <x:c r="N868" s="25" t="e">
        <x:f>HYPERLINK("https://img.alicdn.com/bao/uploaded/i2/2926449694/O1CN01GczM2W2LTuaSHiwPT_!!4611686018427384862-0-item_pic.jpg","查看主图")</x:f>
        <x:v>HYPERLINK is not implemented. linkLocation=https://img.alicdn.com/bao/uploaded/i2/2926449694/O1CN01GczM2W2LTuaSHiwPT_!!4611686018427384862-0-item_pic.jpg, friendlyName=查看主图</x:v>
      </x:c>
      <x:c r="O868" s="9" t="str">
        <x:v>标题及既有类目语义复核；UOOYAA/乌丫2026夏季新款Sports拼接式短半裙；原类目及标题已能确认半身裙；展示使用已知大类，未知裙长下沉到结构字段，不强猜长短。</x:v>
      </x:c>
      <x:c r="P868" s="9" t="str">
        <x:v>普通男女装</x:v>
      </x:c>
      <x:c r="Q868" s="9" t="str">
        <x:v>W_SKIRTS_AVGPAID_1500_1600_ANNUAL2026.xlsx</x:v>
      </x:c>
      <x:c r="R868" s="9" t="str">
        <x:v>默认</x:v>
      </x:c>
      <x:c r="S868" s="9" t="n">
        <x:v>46</x:v>
      </x:c>
      <x:c r="T868" s="9" t="str">
        <x:v>deede8b56943df4f914be45dba170f12e69064023d6ef0e88dbde1764f6ba23e</x:v>
      </x:c>
      <x:c r="U868" s="9" t="str">
        <x:v>W_SKIRTS_AVGPAID_1500_1600_ANNUAL2026</x:v>
      </x:c>
      <x:c r="V868" s="9" t="str">
        <x:v>W_SKIRTS_AVGPAID_1500_1600_ANNUAL2026.xlsx / 默认 / 第46行 / SHA256 deede8b56943df4f914be45dba170f12e69064023d6ef0e88dbde1764f6ba23e</x:v>
      </x:c>
    </x:row>
    <x:row r="869" ht="58" customHeight="1">
      <x:c r="A869" s="23" t="str">
        <x:v>1032239419275</x:v>
      </x:c>
      <x:c r="B869" s="22"/>
      <x:c r="C869" s="22"/>
      <x:c r="D869" s="22"/>
      <x:c r="E869" s="9" t="str">
        <x:v>裙长未明确</x:v>
      </x:c>
      <x:c r="F869" s="9" t="str">
        <x:v>裙装</x:v>
      </x:c>
      <x:c r="G869" s="9" t="str">
        <x:v>半身裙</x:v>
      </x:c>
      <x:c r="H869" s="9" t="str">
        <x:v>女</x:v>
      </x:c>
      <x:c r="I869" s="9" t="str">
        <x:v>UOOYAA温暖小熊印花半裙</x:v>
      </x:c>
      <x:c r="J869" s="9" t="str">
        <x:v>UOOYAA/乌丫</x:v>
      </x:c>
      <x:c r="K869" s="24" t="n">
        <x:v>1372.44</x:v>
      </x:c>
      <x:c r="L869" s="25" t="e">
        <x:f>HYPERLINK("https://item.taobao.com/item.htm?id=1032239419275","打开商品")</x:f>
        <x:v>HYPERLINK is not implemented. linkLocation=https://item.taobao.com/item.htm?id=1032239419275, friendlyName=打开商品</x:v>
      </x:c>
      <x:c r="M869" s="25" t="e">
        <x:f>HYPERLINK("https://data.zhiyitech.cn/itemDetail/overview/base?itemId=1032239419275","打开知衣")</x:f>
        <x:v>HYPERLINK is not implemented. linkLocation=https://data.zhiyitech.cn/itemDetail/overview/base?itemId=1032239419275, friendlyName=打开知衣</x:v>
      </x:c>
      <x:c r="N869" s="25" t="e">
        <x:f>HYPERLINK("https://img.alicdn.com/bao/uploaded/i2/2926449694/O1CN01Ftkr262LTuafQObJF_!!4611686018427384862-0-item_pic.jpg","查看主图")</x:f>
        <x:v>HYPERLINK is not implemented. linkLocation=https://img.alicdn.com/bao/uploaded/i2/2926449694/O1CN01Ftkr262LTuafQObJF_!!4611686018427384862-0-item_pic.jpg, friendlyName=查看主图</x:v>
      </x:c>
      <x:c r="O869" s="9" t="str">
        <x:v>标题及既有类目语义复核；UOOYAA温暖小熊印花半裙；原类目及标题已能确认半身裙；展示使用已知大类，未知裙长下沉到结构字段，不强猜长短。</x:v>
      </x:c>
      <x:c r="P869" s="9" t="str">
        <x:v>普通男女装</x:v>
      </x:c>
      <x:c r="Q869" s="9" t="str">
        <x:v>W_SKIRTS_AVGPAID_1300_1400_ANNUAL2026.xlsx</x:v>
      </x:c>
      <x:c r="R869" s="9" t="str">
        <x:v>默认</x:v>
      </x:c>
      <x:c r="S869" s="9" t="n">
        <x:v>214</x:v>
      </x:c>
      <x:c r="T869" s="9" t="str">
        <x:v>bd4dae1e08e9eca7ddd0669235bf59107cdc418b9c2898fc16f36a7ab5748692</x:v>
      </x:c>
      <x:c r="U869" s="9" t="str">
        <x:v>W_SKIRTS_AVGPAID_1300_1400_ANNUAL2026</x:v>
      </x:c>
      <x:c r="V869" s="9" t="str">
        <x:v>W_SKIRTS_AVGPAID_1300_1400_ANNUAL2026.xlsx / 默认 / 第214行 / SHA256 bd4dae1e08e9eca7ddd0669235bf59107cdc418b9c2898fc16f36a7ab5748692</x:v>
      </x:c>
    </x:row>
    <x:row r="870" ht="58" customHeight="1">
      <x:c r="A870" s="23" t="str">
        <x:v>1034119276653</x:v>
      </x:c>
      <x:c r="B870" s="22"/>
      <x:c r="C870" s="22"/>
      <x:c r="D870" s="22"/>
      <x:c r="E870" s="9" t="str">
        <x:v>裙长未明确</x:v>
      </x:c>
      <x:c r="F870" s="9" t="str">
        <x:v>裙装</x:v>
      </x:c>
      <x:c r="G870" s="9" t="str">
        <x:v>半身裙</x:v>
      </x:c>
      <x:c r="H870" s="9" t="str">
        <x:v>女</x:v>
      </x:c>
      <x:c r="I870" s="9" t="str">
        <x:v>乌丫蕾丝小熊提花半裙</x:v>
      </x:c>
      <x:c r="J870" s="9" t="str">
        <x:v>UOOYAA/乌丫</x:v>
      </x:c>
      <x:c r="K870" s="24" t="n">
        <x:v>1398.37</x:v>
      </x:c>
      <x:c r="L870" s="25" t="e">
        <x:f>HYPERLINK("https://item.taobao.com/item.htm?id=1034119276653","打开商品")</x:f>
        <x:v>HYPERLINK is not implemented. linkLocation=https://item.taobao.com/item.htm?id=1034119276653, friendlyName=打开商品</x:v>
      </x:c>
      <x:c r="M870" s="25" t="e">
        <x:f>HYPERLINK("https://data.zhiyitech.cn/itemDetail/overview/base?itemId=1034119276653","打开知衣")</x:f>
        <x:v>HYPERLINK is not implemented. linkLocation=https://data.zhiyitech.cn/itemDetail/overview/base?itemId=1034119276653, friendlyName=打开知衣</x:v>
      </x:c>
      <x:c r="N870" s="25" t="e">
        <x:f>HYPERLINK("https://img.alicdn.com/bao/uploaded/i2/2926449694/O1CN014AeH8T2LTualgQ1hZ_!!4611686018427384862-0-item_pic.jpg","查看主图")</x:f>
        <x:v>HYPERLINK is not implemented. linkLocation=https://img.alicdn.com/bao/uploaded/i2/2926449694/O1CN014AeH8T2LTualgQ1hZ_!!4611686018427384862-0-item_pic.jpg, friendlyName=查看主图</x:v>
      </x:c>
      <x:c r="O870" s="9" t="str">
        <x:v>标题及既有类目语义复核；乌丫蕾丝小熊提花半裙；原类目及标题已能确认半身裙；展示使用已知大类，未知裙长下沉到结构字段，不强猜长短。</x:v>
      </x:c>
      <x:c r="P870" s="9" t="str">
        <x:v>普通男女装</x:v>
      </x:c>
      <x:c r="Q870" s="9" t="str">
        <x:v>W_SKIRTS_AVGPAID_1300_1400_ANNUAL2026.xlsx</x:v>
      </x:c>
      <x:c r="R870" s="9" t="str">
        <x:v>默认</x:v>
      </x:c>
      <x:c r="S870" s="9" t="n">
        <x:v>192</x:v>
      </x:c>
      <x:c r="T870" s="9" t="str">
        <x:v>bd4dae1e08e9eca7ddd0669235bf59107cdc418b9c2898fc16f36a7ab5748692</x:v>
      </x:c>
      <x:c r="U870" s="9" t="str">
        <x:v>W_SKIRTS_AVGPAID_1300_1400_ANNUAL2026</x:v>
      </x:c>
      <x:c r="V870" s="9" t="str">
        <x:v>W_SKIRTS_AVGPAID_1300_1400_ANNUAL2026.xlsx / 默认 / 第192行 / SHA256 bd4dae1e08e9eca7ddd0669235bf59107cdc418b9c2898fc16f36a7ab5748692</x:v>
      </x:c>
    </x:row>
    <x:row r="871" ht="58" customHeight="1">
      <x:c r="A871" s="23" t="str">
        <x:v>1043075962299</x:v>
      </x:c>
      <x:c r="B871" s="22"/>
      <x:c r="C871" s="22"/>
      <x:c r="D871" s="22"/>
      <x:c r="E871" s="9" t="str">
        <x:v>裙长未明确</x:v>
      </x:c>
      <x:c r="F871" s="9" t="str">
        <x:v>裙装</x:v>
      </x:c>
      <x:c r="G871" s="9" t="str">
        <x:v>半身裙</x:v>
      </x:c>
      <x:c r="H871" s="9" t="str">
        <x:v>女</x:v>
      </x:c>
      <x:c r="I871" s="9" t="str">
        <x:v>UOOYAA/乌丫2026夏季新款「度假」系列昆虫花卉印花拼接百褶半裙</x:v>
      </x:c>
      <x:c r="J871" s="9" t="str">
        <x:v>UOOYAA/乌丫</x:v>
      </x:c>
      <x:c r="K871" s="24" t="n">
        <x:v>1554.39</x:v>
      </x:c>
      <x:c r="L871" s="25" t="e">
        <x:f>HYPERLINK("https://item.taobao.com/item.htm?id=1043075962299","打开商品")</x:f>
        <x:v>HYPERLINK is not implemented. linkLocation=https://item.taobao.com/item.htm?id=1043075962299, friendlyName=打开商品</x:v>
      </x:c>
      <x:c r="M871" s="25" t="e">
        <x:f>HYPERLINK("https://data.zhiyitech.cn/itemDetail/overview/base?itemId=1043075962299","打开知衣")</x:f>
        <x:v>HYPERLINK is not implemented. linkLocation=https://data.zhiyitech.cn/itemDetail/overview/base?itemId=1043075962299, friendlyName=打开知衣</x:v>
      </x:c>
      <x:c r="N871" s="25" t="e">
        <x:f>HYPERLINK("https://img.alicdn.com/bao/uploaded/i3/2926449694/O1CN01FzrVFW2LTub0sZDzF_!!4611686018427384862-0-item_pic.jpg","查看主图")</x:f>
        <x:v>HYPERLINK is not implemented. linkLocation=https://img.alicdn.com/bao/uploaded/i3/2926449694/O1CN01FzrVFW2LTub0sZDzF_!!4611686018427384862-0-item_pic.jpg, friendlyName=查看主图</x:v>
      </x:c>
      <x:c r="O871" s="9" t="str">
        <x:v>标题及既有类目语义复核；UOOYAA/乌丫2026夏季新款「度假」系列昆虫花卉印花拼接百褶半裙；原类目及标题已能确认半身裙；展示使用已知大类，未知裙长下沉到结构字段，不强猜长短。</x:v>
      </x:c>
      <x:c r="P871" s="9" t="str">
        <x:v>普通男女装</x:v>
      </x:c>
      <x:c r="Q871" s="9" t="str">
        <x:v>W_SKIRTS_AVGPAID_1500_1600_ANNUAL2026.xlsx</x:v>
      </x:c>
      <x:c r="R871" s="9" t="str">
        <x:v>默认</x:v>
      </x:c>
      <x:c r="S871" s="9" t="n">
        <x:v>58</x:v>
      </x:c>
      <x:c r="T871" s="9" t="str">
        <x:v>deede8b56943df4f914be45dba170f12e69064023d6ef0e88dbde1764f6ba23e</x:v>
      </x:c>
      <x:c r="U871" s="9" t="str">
        <x:v>W_SKIRTS_AVGPAID_1500_1600_ANNUAL2026</x:v>
      </x:c>
      <x:c r="V871" s="9" t="str">
        <x:v>W_SKIRTS_AVGPAID_1500_1600_ANNUAL2026.xlsx / 默认 / 第58行 / SHA256 deede8b56943df4f914be45dba170f12e69064023d6ef0e88dbde1764f6ba23e</x:v>
      </x:c>
    </x:row>
    <x:row r="872" ht="58" customHeight="1">
      <x:c r="A872" s="23" t="str">
        <x:v>1044904676800</x:v>
      </x:c>
      <x:c r="B872" s="22"/>
      <x:c r="C872" s="22"/>
      <x:c r="D872" s="22"/>
      <x:c r="E872" s="9" t="str">
        <x:v>裙长未明确</x:v>
      </x:c>
      <x:c r="F872" s="9" t="str">
        <x:v>裙装</x:v>
      </x:c>
      <x:c r="G872" s="9" t="str">
        <x:v>半身裙</x:v>
      </x:c>
      <x:c r="H872" s="9" t="str">
        <x:v>女</x:v>
      </x:c>
      <x:c r="I872" s="9" t="str">
        <x:v>UOOYAA/乌丫2026夏季新款「乐园」系列刺绣蕾丝配搭叠穿腰裙</x:v>
      </x:c>
      <x:c r="J872" s="9" t="str">
        <x:v>UOOYAA/乌丫</x:v>
      </x:c>
      <x:c r="K872" s="24" t="n">
        <x:v>1300.15</x:v>
      </x:c>
      <x:c r="L872" s="25" t="e">
        <x:f>HYPERLINK("https://item.taobao.com/item.htm?id=1044904676800","打开商品")</x:f>
        <x:v>HYPERLINK is not implemented. linkLocation=https://item.taobao.com/item.htm?id=1044904676800, friendlyName=打开商品</x:v>
      </x:c>
      <x:c r="M872" s="25" t="e">
        <x:f>HYPERLINK("https://data.zhiyitech.cn/itemDetail/overview/base?itemId=1044904676800","打开知衣")</x:f>
        <x:v>HYPERLINK is not implemented. linkLocation=https://data.zhiyitech.cn/itemDetail/overview/base?itemId=1044904676800, friendlyName=打开知衣</x:v>
      </x:c>
      <x:c r="N872" s="25" t="e">
        <x:f>HYPERLINK("https://img.alicdn.com/bao/uploaded/i4/2926449694/O1CN01BBhctN2LTub14WHED_!!4611686018427384862-0-item_pic.jpg","查看主图")</x:f>
        <x:v>HYPERLINK is not implemented. linkLocation=https://img.alicdn.com/bao/uploaded/i4/2926449694/O1CN01BBhctN2LTub14WHED_!!4611686018427384862-0-item_pic.jpg, friendlyName=查看主图</x:v>
      </x:c>
      <x:c r="O872" s="9" t="str">
        <x:v>标题及既有类目语义复核；UOOYAA/乌丫2026夏季新款「乐园」系列刺绣蕾丝配搭叠穿腰裙；原类目及标题已能确认半身裙；展示使用已知大类，未知裙长下沉到结构字段，不强猜长短。</x:v>
      </x:c>
      <x:c r="P872" s="9" t="str">
        <x:v>普通男女装</x:v>
      </x:c>
      <x:c r="Q872" s="9" t="str">
        <x:v>W_SKIRTS_AVGPAID_1300_1400_ANNUAL2026.xlsx</x:v>
      </x:c>
      <x:c r="R872" s="9" t="str">
        <x:v>默认</x:v>
      </x:c>
      <x:c r="S872" s="9" t="n">
        <x:v>379</x:v>
      </x:c>
      <x:c r="T872" s="9" t="str">
        <x:v>bd4dae1e08e9eca7ddd0669235bf59107cdc418b9c2898fc16f36a7ab5748692</x:v>
      </x:c>
      <x:c r="U872" s="9" t="str">
        <x:v>W_SKIRTS_AVGPAID_1300_1400_ANNUAL2026</x:v>
      </x:c>
      <x:c r="V872" s="9" t="str">
        <x:v>W_SKIRTS_AVGPAID_1300_1400_ANNUAL2026.xlsx / 默认 / 第379行 / SHA256 bd4dae1e08e9eca7ddd0669235bf59107cdc418b9c2898fc16f36a7ab5748692</x:v>
      </x:c>
    </x:row>
    <x:row r="873" ht="58" customHeight="1">
      <x:c r="A873" s="23" t="str">
        <x:v>1045423038260</x:v>
      </x:c>
      <x:c r="B873" s="22"/>
      <x:c r="C873" s="22"/>
      <x:c r="D873" s="22"/>
      <x:c r="E873" s="9" t="str">
        <x:v>裙长未明确</x:v>
      </x:c>
      <x:c r="F873" s="9" t="str">
        <x:v>裙装</x:v>
      </x:c>
      <x:c r="G873" s="9" t="str">
        <x:v>半身裙</x:v>
      </x:c>
      <x:c r="H873" s="9" t="str">
        <x:v>女</x:v>
      </x:c>
      <x:c r="I873" s="9" t="str">
        <x:v>UOOYAA/乌丫2026夏季新款「乐园」系列花卉印花蕾丝拼接蛋糕半裙</x:v>
      </x:c>
      <x:c r="J873" s="9" t="str">
        <x:v>UOOYAA/乌丫</x:v>
      </x:c>
      <x:c r="K873" s="24" t="n">
        <x:v>1539.86</x:v>
      </x:c>
      <x:c r="L873" s="25" t="e">
        <x:f>HYPERLINK("https://item.taobao.com/item.htm?id=1045423038260","打开商品")</x:f>
        <x:v>HYPERLINK is not implemented. linkLocation=https://item.taobao.com/item.htm?id=1045423038260, friendlyName=打开商品</x:v>
      </x:c>
      <x:c r="M873" s="25" t="e">
        <x:f>HYPERLINK("https://data.zhiyitech.cn/itemDetail/overview/base?itemId=1045423038260","打开知衣")</x:f>
        <x:v>HYPERLINK is not implemented. linkLocation=https://data.zhiyitech.cn/itemDetail/overview/base?itemId=1045423038260, friendlyName=打开知衣</x:v>
      </x:c>
      <x:c r="N873" s="25" t="e">
        <x:f>HYPERLINK("https://img.alicdn.com/bao/uploaded/i4/2926449694/O1CN01Nw4MzZ2LTub6QAIl5_!!4611686018427384862-0-item_pic.jpg","查看主图")</x:f>
        <x:v>HYPERLINK is not implemented. linkLocation=https://img.alicdn.com/bao/uploaded/i4/2926449694/O1CN01Nw4MzZ2LTub6QAIl5_!!4611686018427384862-0-item_pic.jpg, friendlyName=查看主图</x:v>
      </x:c>
      <x:c r="O873" s="9" t="str">
        <x:v>标题及既有类目语义复核；UOOYAA/乌丫2026夏季新款「乐园」系列花卉印花蕾丝拼接蛋糕半裙；原类目及标题已能确认半身裙；展示使用已知大类，未知裙长下沉到结构字段，不强猜长短。</x:v>
      </x:c>
      <x:c r="P873" s="9" t="str">
        <x:v>普通男女装</x:v>
      </x:c>
      <x:c r="Q873" s="9" t="str">
        <x:v>W_SKIRTS_AVGPAID_1500_1600_ANNUAL2026.xlsx</x:v>
      </x:c>
      <x:c r="R873" s="9" t="str">
        <x:v>默认</x:v>
      </x:c>
      <x:c r="S873" s="9" t="n">
        <x:v>82</x:v>
      </x:c>
      <x:c r="T873" s="9" t="str">
        <x:v>deede8b56943df4f914be45dba170f12e69064023d6ef0e88dbde1764f6ba23e</x:v>
      </x:c>
      <x:c r="U873" s="9" t="str">
        <x:v>W_SKIRTS_AVGPAID_1500_1600_ANNUAL2026</x:v>
      </x:c>
      <x:c r="V873" s="9" t="str">
        <x:v>W_SKIRTS_AVGPAID_1500_1600_ANNUAL2026.xlsx / 默认 / 第82行 / SHA256 deede8b56943df4f914be45dba170f12e69064023d6ef0e88dbde1764f6ba23e</x:v>
      </x:c>
    </x:row>
    <x:row r="874" ht="58" customHeight="1">
      <x:c r="A874" s="23" t="str">
        <x:v>1046381713658</x:v>
      </x:c>
      <x:c r="B874" s="22"/>
      <x:c r="C874" s="22"/>
      <x:c r="D874" s="22"/>
      <x:c r="E874" s="9" t="str">
        <x:v>裙长未明确</x:v>
      </x:c>
      <x:c r="F874" s="9" t="str">
        <x:v>裙装</x:v>
      </x:c>
      <x:c r="G874" s="9" t="str">
        <x:v>半身裙</x:v>
      </x:c>
      <x:c r="H874" s="9" t="str">
        <x:v>女</x:v>
      </x:c>
      <x:c r="I874" s="9" t="str">
        <x:v>昆虫蕾丝花边拼接碎花半裙</x:v>
      </x:c>
      <x:c r="J874" s="9" t="str">
        <x:v>UOOYAA/乌丫</x:v>
      </x:c>
      <x:c r="K874" s="24" t="n">
        <x:v>1397.71</x:v>
      </x:c>
      <x:c r="L874" s="25" t="e">
        <x:f>HYPERLINK("https://item.taobao.com/item.htm?id=1046381713658","打开商品")</x:f>
        <x:v>HYPERLINK is not implemented. linkLocation=https://item.taobao.com/item.htm?id=1046381713658, friendlyName=打开商品</x:v>
      </x:c>
      <x:c r="M874" s="25" t="e">
        <x:f>HYPERLINK("https://data.zhiyitech.cn/itemDetail/overview/base?itemId=1046381713658","打开知衣")</x:f>
        <x:v>HYPERLINK is not implemented. linkLocation=https://data.zhiyitech.cn/itemDetail/overview/base?itemId=1046381713658, friendlyName=打开知衣</x:v>
      </x:c>
      <x:c r="N874" s="25" t="e">
        <x:f>HYPERLINK("https://img.alicdn.com/bao/uploaded/i1/2926449694/O1CN01tFazlV2LTub6jgVEk_!!4611686018427384862-0-item_pic.jpg","查看主图")</x:f>
        <x:v>HYPERLINK is not implemented. linkLocation=https://img.alicdn.com/bao/uploaded/i1/2926449694/O1CN01tFazlV2LTub6jgVEk_!!4611686018427384862-0-item_pic.jpg, friendlyName=查看主图</x:v>
      </x:c>
      <x:c r="O874" s="9" t="str">
        <x:v>标题及既有类目语义复核；昆虫蕾丝花边拼接碎花半裙；原类目及标题已能确认半身裙；展示使用已知大类，未知裙长下沉到结构字段，不强猜长短。</x:v>
      </x:c>
      <x:c r="P874" s="9" t="str">
        <x:v>普通男女装</x:v>
      </x:c>
      <x:c r="Q874" s="9" t="str">
        <x:v>W_SKIRTS_AVGPAID_1300_1400_ANNUAL2026.xlsx</x:v>
      </x:c>
      <x:c r="R874" s="9" t="str">
        <x:v>默认</x:v>
      </x:c>
      <x:c r="S874" s="9" t="n">
        <x:v>189</x:v>
      </x:c>
      <x:c r="T874" s="9" t="str">
        <x:v>bd4dae1e08e9eca7ddd0669235bf59107cdc418b9c2898fc16f36a7ab5748692</x:v>
      </x:c>
      <x:c r="U874" s="9" t="str">
        <x:v>W_SKIRTS_AVGPAID_1300_1400_ANNUAL2026</x:v>
      </x:c>
      <x:c r="V874" s="9" t="str">
        <x:v>W_SKIRTS_AVGPAID_1300_1400_ANNUAL2026.xlsx / 默认 / 第189行 / SHA256 bd4dae1e08e9eca7ddd0669235bf59107cdc418b9c2898fc16f36a7ab5748692</x:v>
      </x:c>
    </x:row>
    <x:row r="875" ht="58" customHeight="1">
      <x:c r="A875" s="23" t="str">
        <x:v>1047264992342</x:v>
      </x:c>
      <x:c r="B875" s="22"/>
      <x:c r="C875" s="22"/>
      <x:c r="D875" s="22"/>
      <x:c r="E875" s="9" t="str">
        <x:v>裙长未明确</x:v>
      </x:c>
      <x:c r="F875" s="9" t="str">
        <x:v>裙装</x:v>
      </x:c>
      <x:c r="G875" s="9" t="str">
        <x:v>半身裙</x:v>
      </x:c>
      <x:c r="H875" s="9" t="str">
        <x:v>女</x:v>
      </x:c>
      <x:c r="I875" s="9" t="str">
        <x:v>木马蕾丝花边拼接格纹半裙</x:v>
      </x:c>
      <x:c r="J875" s="9" t="str">
        <x:v>UOOYAA/乌丫</x:v>
      </x:c>
      <x:c r="K875" s="24" t="n">
        <x:v>1584.55</x:v>
      </x:c>
      <x:c r="L875" s="25" t="e">
        <x:f>HYPERLINK("https://item.taobao.com/item.htm?id=1047264992342","打开商品")</x:f>
        <x:v>HYPERLINK is not implemented. linkLocation=https://item.taobao.com/item.htm?id=1047264992342, friendlyName=打开商品</x:v>
      </x:c>
      <x:c r="M875" s="25" t="e">
        <x:f>HYPERLINK("https://data.zhiyitech.cn/itemDetail/overview/base?itemId=1047264992342","打开知衣")</x:f>
        <x:v>HYPERLINK is not implemented. linkLocation=https://data.zhiyitech.cn/itemDetail/overview/base?itemId=1047264992342, friendlyName=打开知衣</x:v>
      </x:c>
      <x:c r="N875" s="25" t="e">
        <x:f>HYPERLINK("https://img.alicdn.com/bao/uploaded/i4/2926449694/O1CN01ZLWDgL2LTub6qfwxg_!!4611686018427384862-0-item_pic.jpg","查看主图")</x:f>
        <x:v>HYPERLINK is not implemented. linkLocation=https://img.alicdn.com/bao/uploaded/i4/2926449694/O1CN01ZLWDgL2LTub6qfwxg_!!4611686018427384862-0-item_pic.jpg, friendlyName=查看主图</x:v>
      </x:c>
      <x:c r="O875" s="9" t="str">
        <x:v>标题及既有类目语义复核；木马蕾丝花边拼接格纹半裙；原类目及标题已能确认半身裙；展示使用已知大类，未知裙长下沉到结构字段，不强猜长短。</x:v>
      </x:c>
      <x:c r="P875" s="9" t="str">
        <x:v>普通男女装</x:v>
      </x:c>
      <x:c r="Q875" s="9" t="str">
        <x:v>W_SKIRTS_AVGPAID_1500_1600_ANNUAL2026.xlsx</x:v>
      </x:c>
      <x:c r="R875" s="9" t="str">
        <x:v>默认</x:v>
      </x:c>
      <x:c r="S875" s="9" t="n">
        <x:v>14</x:v>
      </x:c>
      <x:c r="T875" s="9" t="str">
        <x:v>deede8b56943df4f914be45dba170f12e69064023d6ef0e88dbde1764f6ba23e</x:v>
      </x:c>
      <x:c r="U875" s="9" t="str">
        <x:v>W_SKIRTS_AVGPAID_1500_1600_ANNUAL2026</x:v>
      </x:c>
      <x:c r="V875" s="9" t="str">
        <x:v>W_SKIRTS_AVGPAID_1500_1600_ANNUAL2026.xlsx / 默认 / 第14行 / SHA256 deede8b56943df4f914be45dba170f12e69064023d6ef0e88dbde1764f6ba23e</x:v>
      </x:c>
    </x:row>
    <x:row r="876" ht="58" customHeight="1">
      <x:c r="A876" s="23" t="str">
        <x:v>1047994485296</x:v>
      </x:c>
      <x:c r="B876" s="22"/>
      <x:c r="C876" s="22"/>
      <x:c r="D876" s="22"/>
      <x:c r="E876" s="9" t="str">
        <x:v>裙长未明确</x:v>
      </x:c>
      <x:c r="F876" s="9" t="str">
        <x:v>裙装</x:v>
      </x:c>
      <x:c r="G876" s="9" t="str">
        <x:v>半身裙</x:v>
      </x:c>
      <x:c r="H876" s="9" t="str">
        <x:v>女</x:v>
      </x:c>
      <x:c r="I876" s="9" t="str">
        <x:v>UOOYAA/乌丫自在造型工装短半裙</x:v>
      </x:c>
      <x:c r="J876" s="9" t="str">
        <x:v>UOOYAA/乌丫</x:v>
      </x:c>
      <x:c r="K876" s="24" t="n">
        <x:v>1364.85</x:v>
      </x:c>
      <x:c r="L876" s="25" t="e">
        <x:f>HYPERLINK("https://item.taobao.com/item.htm?id=1047994485296","打开商品")</x:f>
        <x:v>HYPERLINK is not implemented. linkLocation=https://item.taobao.com/item.htm?id=1047994485296, friendlyName=打开商品</x:v>
      </x:c>
      <x:c r="M876" s="25" t="e">
        <x:f>HYPERLINK("https://data.zhiyitech.cn/itemDetail/overview/base?itemId=1047994485296","打开知衣")</x:f>
        <x:v>HYPERLINK is not implemented. linkLocation=https://data.zhiyitech.cn/itemDetail/overview/base?itemId=1047994485296, friendlyName=打开知衣</x:v>
      </x:c>
      <x:c r="N876" s="25" t="e">
        <x:f>HYPERLINK("https://img.alicdn.com/bao/uploaded/i2/2926449694/O1CN01SSlSpP2LTubaxxt6L_!!4611686018427384862-0-item_pic.jpg","查看主图")</x:f>
        <x:v>HYPERLINK is not implemented. linkLocation=https://img.alicdn.com/bao/uploaded/i2/2926449694/O1CN01SSlSpP2LTubaxxt6L_!!4611686018427384862-0-item_pic.jpg, friendlyName=查看主图</x:v>
      </x:c>
      <x:c r="O876" s="9" t="str">
        <x:v>标题及既有类目语义复核；UOOYAA/乌丫自在造型工装短半裙；原类目及标题已能确认半身裙；展示使用已知大类，未知裙长下沉到结构字段，不强猜长短。</x:v>
      </x:c>
      <x:c r="P876" s="9" t="str">
        <x:v>普通男女装</x:v>
      </x:c>
      <x:c r="Q876" s="9" t="str">
        <x:v>W_SKIRTS_AVGPAID_1300_1400_ANNUAL2026.xlsx</x:v>
      </x:c>
      <x:c r="R876" s="9" t="str">
        <x:v>默认</x:v>
      </x:c>
      <x:c r="S876" s="9" t="n">
        <x:v>261</x:v>
      </x:c>
      <x:c r="T876" s="9" t="str">
        <x:v>bd4dae1e08e9eca7ddd0669235bf59107cdc418b9c2898fc16f36a7ab5748692</x:v>
      </x:c>
      <x:c r="U876" s="9" t="str">
        <x:v>W_SKIRTS_AVGPAID_1300_1400_ANNUAL2026</x:v>
      </x:c>
      <x:c r="V876" s="9" t="str">
        <x:v>W_SKIRTS_AVGPAID_1300_1400_ANNUAL2026.xlsx / 默认 / 第261行 / SHA256 bd4dae1e08e9eca7ddd0669235bf59107cdc418b9c2898fc16f36a7ab5748692</x:v>
      </x:c>
    </x:row>
    <x:row r="877" ht="58" customHeight="1">
      <x:c r="A877" s="23" t="str">
        <x:v>1048853864946</x:v>
      </x:c>
      <x:c r="B877" s="22"/>
      <x:c r="C877" s="22"/>
      <x:c r="D877" s="22"/>
      <x:c r="E877" s="9" t="str">
        <x:v>裙长未明确</x:v>
      </x:c>
      <x:c r="F877" s="9" t="str">
        <x:v>裙装</x:v>
      </x:c>
      <x:c r="G877" s="9" t="str">
        <x:v>半身裙</x:v>
      </x:c>
      <x:c r="H877" s="9" t="str">
        <x:v>女</x:v>
      </x:c>
      <x:c r="I877" s="9" t="str">
        <x:v>UOOYAA/乌丫镂空绣花蛋糕短半裙</x:v>
      </x:c>
      <x:c r="J877" s="9" t="str">
        <x:v>UOOYAA/乌丫</x:v>
      </x:c>
      <x:c r="K877" s="24" t="n">
        <x:v>1537.09</x:v>
      </x:c>
      <x:c r="L877" s="25" t="e">
        <x:f>HYPERLINK("https://item.taobao.com/item.htm?id=1048853864946","打开商品")</x:f>
        <x:v>HYPERLINK is not implemented. linkLocation=https://item.taobao.com/item.htm?id=1048853864946, friendlyName=打开商品</x:v>
      </x:c>
      <x:c r="M877" s="25" t="e">
        <x:f>HYPERLINK("https://data.zhiyitech.cn/itemDetail/overview/base?itemId=1048853864946","打开知衣")</x:f>
        <x:v>HYPERLINK is not implemented. linkLocation=https://data.zhiyitech.cn/itemDetail/overview/base?itemId=1048853864946, friendlyName=打开知衣</x:v>
      </x:c>
      <x:c r="N877" s="25" t="e">
        <x:f>HYPERLINK("https://img.alicdn.com/bao/uploaded/i1/2926449694/O1CN01OWy4o32LTubZdy7Ix_!!4611686018427384862-0-item_pic.jpg","查看主图")</x:f>
        <x:v>HYPERLINK is not implemented. linkLocation=https://img.alicdn.com/bao/uploaded/i1/2926449694/O1CN01OWy4o32LTubZdy7Ix_!!4611686018427384862-0-item_pic.jpg, friendlyName=查看主图</x:v>
      </x:c>
      <x:c r="O877" s="9" t="str">
        <x:v>标题及既有类目语义复核；UOOYAA/乌丫镂空绣花蛋糕短半裙；原类目及标题已能确认半身裙；展示使用已知大类，未知裙长下沉到结构字段，不强猜长短。</x:v>
      </x:c>
      <x:c r="P877" s="9" t="str">
        <x:v>普通男女装</x:v>
      </x:c>
      <x:c r="Q877" s="9" t="str">
        <x:v>W_SKIRTS_AVGPAID_1500_1600_ANNUAL2026.xlsx</x:v>
      </x:c>
      <x:c r="R877" s="9" t="str">
        <x:v>默认</x:v>
      </x:c>
      <x:c r="S877" s="9" t="n">
        <x:v>235</x:v>
      </x:c>
      <x:c r="T877" s="9" t="str">
        <x:v>deede8b56943df4f914be45dba170f12e69064023d6ef0e88dbde1764f6ba23e</x:v>
      </x:c>
      <x:c r="U877" s="9" t="str">
        <x:v>W_SKIRTS_AVGPAID_1500_1600_ANNUAL2026</x:v>
      </x:c>
      <x:c r="V877" s="9" t="str">
        <x:v>W_SKIRTS_AVGPAID_1500_1600_ANNUAL2026.xlsx / 默认 / 第235行 / SHA256 deede8b56943df4f914be45dba170f12e69064023d6ef0e88dbde1764f6ba23e</x:v>
      </x:c>
    </x:row>
    <x:row r="878" ht="58" customHeight="1">
      <x:c r="A878" s="23" t="str">
        <x:v>1061641466266</x:v>
      </x:c>
      <x:c r="B878" s="22"/>
      <x:c r="C878" s="22"/>
      <x:c r="D878" s="22"/>
      <x:c r="E878" s="9" t="str">
        <x:v>裙长未明确</x:v>
      </x:c>
      <x:c r="F878" s="9" t="str">
        <x:v>裙装</x:v>
      </x:c>
      <x:c r="G878" s="9" t="str">
        <x:v>半身裙</x:v>
      </x:c>
      <x:c r="H878" s="9" t="str">
        <x:v>女</x:v>
      </x:c>
      <x:c r="I878" s="9" t="str">
        <x:v>UOOYAA/乌丫复古remake牛仔裙</x:v>
      </x:c>
      <x:c r="J878" s="9" t="str">
        <x:v>UOOYAA/乌丫</x:v>
      </x:c>
      <x:c r="K878" s="24" t="n">
        <x:v>1572.13</x:v>
      </x:c>
      <x:c r="L878" s="25" t="e">
        <x:f>HYPERLINK("https://item.taobao.com/item.htm?id=1061641466266","打开商品")</x:f>
        <x:v>HYPERLINK is not implemented. linkLocation=https://item.taobao.com/item.htm?id=1061641466266, friendlyName=打开商品</x:v>
      </x:c>
      <x:c r="M878" s="25" t="e">
        <x:f>HYPERLINK("https://data.zhiyitech.cn/itemDetail/overview/base?itemId=1061641466266","打开知衣")</x:f>
        <x:v>HYPERLINK is not implemented. linkLocation=https://data.zhiyitech.cn/itemDetail/overview/base?itemId=1061641466266, friendlyName=打开知衣</x:v>
      </x:c>
      <x:c r="N878" s="25" t="e">
        <x:f>HYPERLINK("https://img.alicdn.com/bao/uploaded/i3/2926449694/O1CN01vV1svK2LTucH91Dta_!!4611686018427384862-0-item_pic.jpg","查看主图")</x:f>
        <x:v>HYPERLINK is not implemented. linkLocation=https://img.alicdn.com/bao/uploaded/i3/2926449694/O1CN01vV1svK2LTucH91Dta_!!4611686018427384862-0-item_pic.jpg, friendlyName=查看主图</x:v>
      </x:c>
      <x:c r="O878" s="9" t="str">
        <x:v>标题及既有类目语义复核；UOOYAA/乌丫复古remake牛仔裙；原类目及标题已能确认半身裙；展示使用已知大类，未知裙长下沉到结构字段，不强猜长短。</x:v>
      </x:c>
      <x:c r="P878" s="9" t="str">
        <x:v>普通男女装</x:v>
      </x:c>
      <x:c r="Q878" s="9" t="str">
        <x:v>W_SKIRTS_AVGPAID_1500_1600_ANNUAL2026.xlsx</x:v>
      </x:c>
      <x:c r="R878" s="9" t="str">
        <x:v>默认</x:v>
      </x:c>
      <x:c r="S878" s="9" t="n">
        <x:v>197</x:v>
      </x:c>
      <x:c r="T878" s="9" t="str">
        <x:v>deede8b56943df4f914be45dba170f12e69064023d6ef0e88dbde1764f6ba23e</x:v>
      </x:c>
      <x:c r="U878" s="9" t="str">
        <x:v>W_SKIRTS_AVGPAID_1500_1600_ANNUAL2026</x:v>
      </x:c>
      <x:c r="V878" s="9" t="str">
        <x:v>W_SKIRTS_AVGPAID_1500_1600_ANNUAL2026.xlsx / 默认 / 第197行 / SHA256 deede8b56943df4f914be45dba170f12e69064023d6ef0e88dbde1764f6ba23e</x:v>
      </x:c>
    </x:row>
    <x:row r="879" ht="58" customHeight="1">
      <x:c r="A879" s="23" t="str">
        <x:v>1063581340475</x:v>
      </x:c>
      <x:c r="B879" s="22"/>
      <x:c r="C879" s="22"/>
      <x:c r="D879" s="22"/>
      <x:c r="E879" s="9" t="str">
        <x:v>裙长未明确</x:v>
      </x:c>
      <x:c r="F879" s="9" t="str">
        <x:v>裙装</x:v>
      </x:c>
      <x:c r="G879" s="9" t="str">
        <x:v>半身裙</x:v>
      </x:c>
      <x:c r="H879" s="9" t="str">
        <x:v>女</x:v>
      </x:c>
      <x:c r="I879" s="9" t="str">
        <x:v>UOOYAA/乌丫2026秋季新款「地球女孩」系列不规则捏褶烫钻西装裙</x:v>
      </x:c>
      <x:c r="J879" s="9" t="str">
        <x:v>UOOYAA/乌丫</x:v>
      </x:c>
      <x:c r="K879" s="24" t="n">
        <x:v>1528.02</x:v>
      </x:c>
      <x:c r="L879" s="25" t="e">
        <x:f>HYPERLINK("https://item.taobao.com/item.htm?id=1063581340475","打开商品")</x:f>
        <x:v>HYPERLINK is not implemented. linkLocation=https://item.taobao.com/item.htm?id=1063581340475, friendlyName=打开商品</x:v>
      </x:c>
      <x:c r="M879" s="25" t="e">
        <x:f>HYPERLINK("https://data.zhiyitech.cn/itemDetail/overview/base?itemId=1063581340475","打开知衣")</x:f>
        <x:v>HYPERLINK is not implemented. linkLocation=https://data.zhiyitech.cn/itemDetail/overview/base?itemId=1063581340475, friendlyName=打开知衣</x:v>
      </x:c>
      <x:c r="N879" s="25" t="e">
        <x:f>HYPERLINK("https://img.alicdn.com/bao/uploaded/i2/2926449694/O1CN01nkQWBI2LTuc4k2CgS_!!4611686018427384862-0-item_pic.jpg","查看主图")</x:f>
        <x:v>HYPERLINK is not implemented. linkLocation=https://img.alicdn.com/bao/uploaded/i2/2926449694/O1CN01nkQWBI2LTuc4k2CgS_!!4611686018427384862-0-item_pic.jpg, friendlyName=查看主图</x:v>
      </x:c>
      <x:c r="O879" s="9" t="str">
        <x:v>标题及既有类目语义复核；UOOYAA/乌丫2026秋季新款「地球女孩」系列不规则捏褶烫钻西装裙；原类目及标题已能确认半身裙；展示使用已知大类，未知裙长下沉到结构字段，不强猜长短。</x:v>
      </x:c>
      <x:c r="P879" s="9" t="str">
        <x:v>普通男女装</x:v>
      </x:c>
      <x:c r="Q879" s="9" t="str">
        <x:v>W_SKIRTS_AVGPAID_1500_1600_ANNUAL2026.xlsx</x:v>
      </x:c>
      <x:c r="R879" s="9" t="str">
        <x:v>默认</x:v>
      </x:c>
      <x:c r="S879" s="9" t="n">
        <x:v>200</x:v>
      </x:c>
      <x:c r="T879" s="9" t="str">
        <x:v>deede8b56943df4f914be45dba170f12e69064023d6ef0e88dbde1764f6ba23e</x:v>
      </x:c>
      <x:c r="U879" s="9" t="str">
        <x:v>W_SKIRTS_AVGPAID_1500_1600_ANNUAL2026</x:v>
      </x:c>
      <x:c r="V879" s="9" t="str">
        <x:v>W_SKIRTS_AVGPAID_1500_1600_ANNUAL2026.xlsx / 默认 / 第200行 / SHA256 deede8b56943df4f914be45dba170f12e69064023d6ef0e88dbde1764f6ba23e</x:v>
      </x:c>
    </x:row>
    <x:row r="880" ht="58" customHeight="1">
      <x:c r="A880" s="23" t="str">
        <x:v>1067177526001</x:v>
      </x:c>
      <x:c r="B880" s="22"/>
      <x:c r="C880" s="22"/>
      <x:c r="D880" s="22"/>
      <x:c r="E880" s="9" t="str">
        <x:v>裙长未明确</x:v>
      </x:c>
      <x:c r="F880" s="9" t="str">
        <x:v>裙装</x:v>
      </x:c>
      <x:c r="G880" s="9" t="str">
        <x:v>半身裙</x:v>
      </x:c>
      <x:c r="H880" s="9" t="str">
        <x:v>女</x:v>
      </x:c>
      <x:c r="I880" s="9" t="str">
        <x:v>UOOYAA/乌丫2026秋季新款「地球女孩」系列解构感工装半裙</x:v>
      </x:c>
      <x:c r="J880" s="9" t="str">
        <x:v>UOOYAA/乌丫</x:v>
      </x:c>
      <x:c r="K880" s="24" t="n">
        <x:v>1391.04</x:v>
      </x:c>
      <x:c r="L880" s="25" t="e">
        <x:f>HYPERLINK("https://item.taobao.com/item.htm?id=1067177526001","打开商品")</x:f>
        <x:v>HYPERLINK is not implemented. linkLocation=https://item.taobao.com/item.htm?id=1067177526001, friendlyName=打开商品</x:v>
      </x:c>
      <x:c r="M880" s="25" t="e">
        <x:f>HYPERLINK("https://data.zhiyitech.cn/itemDetail/overview/base?itemId=1067177526001","打开知衣")</x:f>
        <x:v>HYPERLINK is not implemented. linkLocation=https://data.zhiyitech.cn/itemDetail/overview/base?itemId=1067177526001, friendlyName=打开知衣</x:v>
      </x:c>
      <x:c r="N880" s="25" t="e">
        <x:f>HYPERLINK("https://img.alicdn.com/bao/uploaded/i3/2926449694/O1CN01tpKYxj2LTucFxCh3v_!!4611686018427384862-0-item_pic.jpg","查看主图")</x:f>
        <x:v>HYPERLINK is not implemented. linkLocation=https://img.alicdn.com/bao/uploaded/i3/2926449694/O1CN01tpKYxj2LTucFxCh3v_!!4611686018427384862-0-item_pic.jpg, friendlyName=查看主图</x:v>
      </x:c>
      <x:c r="O880" s="9" t="str">
        <x:v>标题及既有类目语义复核；UOOYAA/乌丫2026秋季新款「地球女孩」系列解构感工装半裙；原类目及标题已能确认半身裙；展示使用已知大类，未知裙长下沉到结构字段，不强猜长短。</x:v>
      </x:c>
      <x:c r="P880" s="9" t="str">
        <x:v>普通男女装</x:v>
      </x:c>
      <x:c r="Q880" s="9" t="str">
        <x:v>W_SKIRTS_AVGPAID_1300_1400_ANNUAL2026.xlsx</x:v>
      </x:c>
      <x:c r="R880" s="9" t="str">
        <x:v>默认</x:v>
      </x:c>
      <x:c r="S880" s="9" t="n">
        <x:v>481</x:v>
      </x:c>
      <x:c r="T880" s="9" t="str">
        <x:v>bd4dae1e08e9eca7ddd0669235bf59107cdc418b9c2898fc16f36a7ab5748692</x:v>
      </x:c>
      <x:c r="U880" s="9" t="str">
        <x:v>W_SKIRTS_AVGPAID_1300_1400_ANNUAL2026</x:v>
      </x:c>
      <x:c r="V880" s="9" t="str">
        <x:v>W_SKIRTS_AVGPAID_1300_1400_ANNUAL2026.xlsx / 默认 / 第481行 / SHA256 bd4dae1e08e9eca7ddd0669235bf59107cdc418b9c2898fc16f36a7ab5748692</x:v>
      </x:c>
    </x:row>
    <x:row r="881" ht="58" customHeight="1">
      <x:c r="A881" s="23" t="str">
        <x:v>1076853350795</x:v>
      </x:c>
      <x:c r="B881" s="22"/>
      <x:c r="C881" s="22"/>
      <x:c r="D881" s="22"/>
      <x:c r="E881" s="9" t="str">
        <x:v>裙长未明确</x:v>
      </x:c>
      <x:c r="F881" s="9" t="str">
        <x:v>裙装</x:v>
      </x:c>
      <x:c r="G881" s="9" t="str">
        <x:v>半身裙</x:v>
      </x:c>
      <x:c r="H881" s="9" t="str">
        <x:v>女</x:v>
      </x:c>
      <x:c r="I881" s="9" t="str">
        <x:v>UOOYAA/乌丫2026秋季新款「动感樱桃」双腰头假两件百褶裙</x:v>
      </x:c>
      <x:c r="J881" s="9" t="str">
        <x:v>UOOYAA/乌丫</x:v>
      </x:c>
      <x:c r="K881" s="24" t="n">
        <x:v>1735.16</x:v>
      </x:c>
      <x:c r="L881" s="25" t="e">
        <x:f>HYPERLINK("https://item.taobao.com/item.htm?id=1076853350795","打开商品")</x:f>
        <x:v>HYPERLINK is not implemented. linkLocation=https://item.taobao.com/item.htm?id=1076853350795, friendlyName=打开商品</x:v>
      </x:c>
      <x:c r="M881" s="25" t="e">
        <x:f>HYPERLINK("https://data.zhiyitech.cn/itemDetail/overview/base?itemId=1076853350795","打开知衣")</x:f>
        <x:v>HYPERLINK is not implemented. linkLocation=https://data.zhiyitech.cn/itemDetail/overview/base?itemId=1076853350795, friendlyName=打开知衣</x:v>
      </x:c>
      <x:c r="N881" s="25" t="e">
        <x:f>HYPERLINK("https://img.alicdn.com/bao/uploaded/i2/2926449694/O1CN011dec6mMZ6EG2vH2e_!!4611686018427384862-0-item_pic.jpg","查看主图")</x:f>
        <x:v>HYPERLINK is not implemented. linkLocation=https://img.alicdn.com/bao/uploaded/i2/2926449694/O1CN011dec6mMZ6EG2vH2e_!!4611686018427384862-0-item_pic.jpg, friendlyName=查看主图</x:v>
      </x:c>
      <x:c r="O881" s="9" t="str">
        <x:v>标题及既有类目语义复核；UOOYAA/乌丫2026秋季新款「动感樱桃」双腰头假两件百褶裙；原类目及标题已能确认半身裙；展示使用已知大类，未知裙长下沉到结构字段，不强猜长短。</x:v>
      </x:c>
      <x:c r="P881" s="9" t="str">
        <x:v>普通男女装</x:v>
      </x:c>
      <x:c r="Q881" s="9" t="str">
        <x:v>W_SKIRTS_AVGPAID_1700_1800_ANNUAL2026.xlsx</x:v>
      </x:c>
      <x:c r="R881" s="9" t="str">
        <x:v>默认</x:v>
      </x:c>
      <x:c r="S881" s="9" t="n">
        <x:v>169</x:v>
      </x:c>
      <x:c r="T881" s="9" t="str">
        <x:v>c25ed77c53c7c5cfcf728778a0e9b297d8689503f62756a939cbd534ca9b587a</x:v>
      </x:c>
      <x:c r="U881" s="9" t="str">
        <x:v>W_SKIRTS_AVGPAID_1700_1800_ANNUAL2026</x:v>
      </x:c>
      <x:c r="V881" s="9" t="str">
        <x:v>W_SKIRTS_AVGPAID_1700_1800_ANNUAL2026.xlsx / 默认 / 第169行 / SHA256 c25ed77c53c7c5cfcf728778a0e9b297d8689503f62756a939cbd534ca9b587a</x:v>
      </x:c>
    </x:row>
    <x:row r="882" ht="58" customHeight="1">
      <x:c r="A882" s="23" t="str">
        <x:v>1076938099930</x:v>
      </x:c>
      <x:c r="B882" s="22"/>
      <x:c r="C882" s="22"/>
      <x:c r="D882" s="22"/>
      <x:c r="E882" s="9" t="str">
        <x:v>裙长未明确</x:v>
      </x:c>
      <x:c r="F882" s="9" t="str">
        <x:v>裙装</x:v>
      </x:c>
      <x:c r="G882" s="9" t="str">
        <x:v>半身裙</x:v>
      </x:c>
      <x:c r="H882" s="9" t="str">
        <x:v>女</x:v>
      </x:c>
      <x:c r="I882" s="9" t="str">
        <x:v>UOOYAA/乌丫2026秋季新款「地球女孩」系列立体蝴蝶结A字百褶半裙</x:v>
      </x:c>
      <x:c r="J882" s="9" t="str">
        <x:v>UOOYAA/乌丫</x:v>
      </x:c>
      <x:c r="K882" s="24" t="n">
        <x:v>1340.48</x:v>
      </x:c>
      <x:c r="L882" s="25" t="e">
        <x:f>HYPERLINK("https://item.taobao.com/item.htm?id=1076938099930","打开商品")</x:f>
        <x:v>HYPERLINK is not implemented. linkLocation=https://item.taobao.com/item.htm?id=1076938099930, friendlyName=打开商品</x:v>
      </x:c>
      <x:c r="M882" s="25" t="e">
        <x:f>HYPERLINK("https://data.zhiyitech.cn/itemDetail/overview/base?itemId=1076938099930","打开知衣")</x:f>
        <x:v>HYPERLINK is not implemented. linkLocation=https://data.zhiyitech.cn/itemDetail/overview/base?itemId=1076938099930, friendlyName=打开知衣</x:v>
      </x:c>
      <x:c r="N882" s="25" t="e">
        <x:f>HYPERLINK("https://img.alicdn.com/bao/uploaded/i2/2926449694/O1CN01OqvALPgY4QH2vH2e_!!4611686018427384862-0-item_pic.jpg","查看主图")</x:f>
        <x:v>HYPERLINK is not implemented. linkLocation=https://img.alicdn.com/bao/uploaded/i2/2926449694/O1CN01OqvALPgY4QH2vH2e_!!4611686018427384862-0-item_pic.jpg, friendlyName=查看主图</x:v>
      </x:c>
      <x:c r="O882" s="9" t="str">
        <x:v>标题及既有类目语义复核；UOOYAA/乌丫2026秋季新款「地球女孩」系列立体蝴蝶结A字百褶半裙；原类目及标题已能确认半身裙；展示使用已知大类，未知裙长下沉到结构字段，不强猜长短。</x:v>
      </x:c>
      <x:c r="P882" s="9" t="str">
        <x:v>普通男女装</x:v>
      </x:c>
      <x:c r="Q882" s="9" t="str">
        <x:v>W_SKIRTS_AVGPAID_1300_1400_ANNUAL2026.xlsx</x:v>
      </x:c>
      <x:c r="R882" s="9" t="str">
        <x:v>默认</x:v>
      </x:c>
      <x:c r="S882" s="9" t="n">
        <x:v>474</x:v>
      </x:c>
      <x:c r="T882" s="9" t="str">
        <x:v>bd4dae1e08e9eca7ddd0669235bf59107cdc418b9c2898fc16f36a7ab5748692</x:v>
      </x:c>
      <x:c r="U882" s="9" t="str">
        <x:v>W_SKIRTS_AVGPAID_1300_1400_ANNUAL2026</x:v>
      </x:c>
      <x:c r="V882" s="9" t="str">
        <x:v>W_SKIRTS_AVGPAID_1300_1400_ANNUAL2026.xlsx / 默认 / 第474行 / SHA256 bd4dae1e08e9eca7ddd0669235bf59107cdc418b9c2898fc16f36a7ab5748692</x:v>
      </x:c>
    </x:row>
    <x:row r="883" ht="58" customHeight="1">
      <x:c r="A883" s="23" t="str">
        <x:v>1077893849636</x:v>
      </x:c>
      <x:c r="B883" s="22"/>
      <x:c r="C883" s="22"/>
      <x:c r="D883" s="22"/>
      <x:c r="E883" s="9" t="str">
        <x:v>裙长未明确</x:v>
      </x:c>
      <x:c r="F883" s="9" t="str">
        <x:v>裙装</x:v>
      </x:c>
      <x:c r="G883" s="9" t="str">
        <x:v>半身裙</x:v>
      </x:c>
      <x:c r="H883" s="9" t="str">
        <x:v>女</x:v>
      </x:c>
      <x:c r="I883" s="9" t="str">
        <x:v>UOOYAA/乌丫2026秋季新款「动感樱桃」A型刺绣波浪牛仔半裙</x:v>
      </x:c>
      <x:c r="J883" s="9" t="str">
        <x:v>UOOYAA/乌丫</x:v>
      </x:c>
      <x:c r="K883" s="24" t="n">
        <x:v>1355.11</x:v>
      </x:c>
      <x:c r="L883" s="25" t="e">
        <x:f>HYPERLINK("https://item.taobao.com/item.htm?id=1077893849636","打开商品")</x:f>
        <x:v>HYPERLINK is not implemented. linkLocation=https://item.taobao.com/item.htm?id=1077893849636, friendlyName=打开商品</x:v>
      </x:c>
      <x:c r="M883" s="25" t="e">
        <x:f>HYPERLINK("https://data.zhiyitech.cn/itemDetail/overview/base?itemId=1077893849636","打开知衣")</x:f>
        <x:v>HYPERLINK is not implemented. linkLocation=https://data.zhiyitech.cn/itemDetail/overview/base?itemId=1077893849636, friendlyName=打开知衣</x:v>
      </x:c>
      <x:c r="N883" s="25" t="e">
        <x:f>HYPERLINK("https://img.alicdn.com/bao/uploaded/i1/2926449694/O1CN01wKzSDsKRLnC2vH2e_!!4611686018427384862-0-item_pic.jpg","查看主图")</x:f>
        <x:v>HYPERLINK is not implemented. linkLocation=https://img.alicdn.com/bao/uploaded/i1/2926449694/O1CN01wKzSDsKRLnC2vH2e_!!4611686018427384862-0-item_pic.jpg, friendlyName=查看主图</x:v>
      </x:c>
      <x:c r="O883" s="9" t="str">
        <x:v>标题及既有类目语义复核；UOOYAA/乌丫2026秋季新款「动感樱桃」A型刺绣波浪牛仔半裙；原类目及标题已能确认半身裙；展示使用已知大类，未知裙长下沉到结构字段，不强猜长短。</x:v>
      </x:c>
      <x:c r="P883" s="9" t="str">
        <x:v>普通男女装</x:v>
      </x:c>
      <x:c r="Q883" s="9" t="str">
        <x:v>W_SKIRTS_AVGPAID_1300_1400_ANNUAL2026.xlsx</x:v>
      </x:c>
      <x:c r="R883" s="9" t="str">
        <x:v>默认</x:v>
      </x:c>
      <x:c r="S883" s="9" t="n">
        <x:v>206</x:v>
      </x:c>
      <x:c r="T883" s="9" t="str">
        <x:v>bd4dae1e08e9eca7ddd0669235bf59107cdc418b9c2898fc16f36a7ab5748692</x:v>
      </x:c>
      <x:c r="U883" s="9" t="str">
        <x:v>W_SKIRTS_AVGPAID_1300_1400_ANNUAL2026</x:v>
      </x:c>
      <x:c r="V883" s="9" t="str">
        <x:v>W_SKIRTS_AVGPAID_1300_1400_ANNUAL2026.xlsx / 默认 / 第206行 / SHA256 bd4dae1e08e9eca7ddd0669235bf59107cdc418b9c2898fc16f36a7ab5748692</x:v>
      </x:c>
    </x:row>
    <x:row r="884" ht="58" customHeight="1">
      <x:c r="A884" s="23" t="str">
        <x:v>1084716851129</x:v>
      </x:c>
      <x:c r="B884" s="22"/>
      <x:c r="C884" s="22"/>
      <x:c r="D884" s="22"/>
      <x:c r="E884" s="9" t="str">
        <x:v>裙长未明确</x:v>
      </x:c>
      <x:c r="F884" s="9" t="str">
        <x:v>裙装</x:v>
      </x:c>
      <x:c r="G884" s="9" t="str">
        <x:v>半身裙</x:v>
      </x:c>
      <x:c r="H884" s="9" t="str">
        <x:v>女</x:v>
      </x:c>
      <x:c r="I884" s="9" t="str">
        <x:v>UOOYAA/乌丫2026冬季新款「地球女孩」系列随性盘花丝绒蛋糕半裙</x:v>
      </x:c>
      <x:c r="J884" s="9" t="str">
        <x:v>UOOYAA/乌丫</x:v>
      </x:c>
      <x:c r="K884" s="24" t="n">
        <x:v>1767.96</x:v>
      </x:c>
      <x:c r="L884" s="25" t="e">
        <x:f>HYPERLINK("https://item.taobao.com/item.htm?id=1084716851129","打开商品")</x:f>
        <x:v>HYPERLINK is not implemented. linkLocation=https://item.taobao.com/item.htm?id=1084716851129, friendlyName=打开商品</x:v>
      </x:c>
      <x:c r="M884" s="25" t="e">
        <x:f>HYPERLINK("https://data.zhiyitech.cn/itemDetail/overview/base?itemId=1084716851129","打开知衣")</x:f>
        <x:v>HYPERLINK is not implemented. linkLocation=https://data.zhiyitech.cn/itemDetail/overview/base?itemId=1084716851129, friendlyName=打开知衣</x:v>
      </x:c>
      <x:c r="N884" s="25" t="e">
        <x:f>HYPERLINK("https://img.alicdn.com/bao/uploaded/i3/2926449694/O1CN01E31nfl9IB5J2vH2e_!!4611686018427384862-0-item_pic.jpg","查看主图")</x:f>
        <x:v>HYPERLINK is not implemented. linkLocation=https://img.alicdn.com/bao/uploaded/i3/2926449694/O1CN01E31nfl9IB5J2vH2e_!!4611686018427384862-0-item_pic.jpg, friendlyName=查看主图</x:v>
      </x:c>
      <x:c r="O884" s="9" t="str">
        <x:v>标题及既有类目语义复核；UOOYAA/乌丫2026冬季新款「地球女孩」系列随性盘花丝绒蛋糕半裙；原类目及标题已能确认半身裙；展示使用已知大类，未知裙长下沉到结构字段，不强猜长短。</x:v>
      </x:c>
      <x:c r="P884" s="9" t="str">
        <x:v>普通男女装</x:v>
      </x:c>
      <x:c r="Q884" s="9" t="str">
        <x:v>W_SKIRTS_AVGPAID_1700_1800_ANNUAL2026.xlsx</x:v>
      </x:c>
      <x:c r="R884" s="9" t="str">
        <x:v>默认</x:v>
      </x:c>
      <x:c r="S884" s="9" t="n">
        <x:v>351</x:v>
      </x:c>
      <x:c r="T884" s="9" t="str">
        <x:v>c25ed77c53c7c5cfcf728778a0e9b297d8689503f62756a939cbd534ca9b587a</x:v>
      </x:c>
      <x:c r="U884" s="9" t="str">
        <x:v>W_SKIRTS_AVGPAID_1700_1800_ANNUAL2026</x:v>
      </x:c>
      <x:c r="V884" s="9" t="str">
        <x:v>W_SKIRTS_AVGPAID_1700_1800_ANNUAL2026.xlsx / 默认 / 第351行 / SHA256 c25ed77c53c7c5cfcf728778a0e9b297d8689503f62756a939cbd534ca9b587a</x:v>
      </x:c>
    </x:row>
    <x:row r="885" ht="58" customHeight="1">
      <x:c r="A885" s="23" t="str">
        <x:v>914843175980</x:v>
      </x:c>
      <x:c r="B885" s="22"/>
      <x:c r="C885" s="22"/>
      <x:c r="D885" s="22"/>
      <x:c r="E885" s="9" t="str">
        <x:v>裙长未明确</x:v>
      </x:c>
      <x:c r="F885" s="9" t="str">
        <x:v>裙装</x:v>
      </x:c>
      <x:c r="G885" s="9" t="str">
        <x:v>半身裙</x:v>
      </x:c>
      <x:c r="H885" s="9" t="str">
        <x:v>女</x:v>
      </x:c>
      <x:c r="I885" s="9" t="str">
        <x:v>UOOYAA/乌丫压褶丝巾牛仔半裙</x:v>
      </x:c>
      <x:c r="J885" s="9" t="str">
        <x:v>UOOYAA/乌丫</x:v>
      </x:c>
      <x:c r="K885" s="24" t="n">
        <x:v>1546.02</x:v>
      </x:c>
      <x:c r="L885" s="25" t="e">
        <x:f>HYPERLINK("https://item.taobao.com/item.htm?id=914843175980","打开商品")</x:f>
        <x:v>HYPERLINK is not implemented. linkLocation=https://item.taobao.com/item.htm?id=914843175980, friendlyName=打开商品</x:v>
      </x:c>
      <x:c r="M885" s="25" t="e">
        <x:f>HYPERLINK("https://data.zhiyitech.cn/itemDetail/overview/base?itemId=914843175980","打开知衣")</x:f>
        <x:v>HYPERLINK is not implemented. linkLocation=https://data.zhiyitech.cn/itemDetail/overview/base?itemId=914843175980, friendlyName=打开知衣</x:v>
      </x:c>
      <x:c r="N885" s="25" t="e">
        <x:f>HYPERLINK("https://img.alicdn.com/bao/uploaded/i4/2926449694/O1CN016XO63p2LTuVoGDKrd_!!4611686018427384862-0-item_pic.jpg","查看主图")</x:f>
        <x:v>HYPERLINK is not implemented. linkLocation=https://img.alicdn.com/bao/uploaded/i4/2926449694/O1CN016XO63p2LTuVoGDKrd_!!4611686018427384862-0-item_pic.jpg, friendlyName=查看主图</x:v>
      </x:c>
      <x:c r="O885" s="9" t="str">
        <x:v>标题及既有类目语义复核；UOOYAA/乌丫压褶丝巾牛仔半裙；原类目及标题已能确认半身裙；展示使用已知大类，未知裙长下沉到结构字段，不强猜长短。</x:v>
      </x:c>
      <x:c r="P885" s="9" t="str">
        <x:v>普通男女装</x:v>
      </x:c>
      <x:c r="Q885" s="9" t="str">
        <x:v>W_SKIRTS_AVGPAID_1500_1600_ANNUAL2026.xlsx</x:v>
      </x:c>
      <x:c r="R885" s="9" t="str">
        <x:v>默认</x:v>
      </x:c>
      <x:c r="S885" s="9" t="n">
        <x:v>264</x:v>
      </x:c>
      <x:c r="T885" s="9" t="str">
        <x:v>deede8b56943df4f914be45dba170f12e69064023d6ef0e88dbde1764f6ba23e</x:v>
      </x:c>
      <x:c r="U885" s="9" t="str">
        <x:v>W_SKIRTS_AVGPAID_1500_1600_ANNUAL2026</x:v>
      </x:c>
      <x:c r="V885" s="9" t="str">
        <x:v>W_SKIRTS_AVGPAID_1500_1600_ANNUAL2026.xlsx / 默认 / 第264行 / SHA256 deede8b56943df4f914be45dba170f12e69064023d6ef0e88dbde1764f6ba23e</x:v>
      </x:c>
    </x:row>
    <x:row r="886" ht="58" customHeight="1">
      <x:c r="A886" s="23" t="str">
        <x:v>918082138650</x:v>
      </x:c>
      <x:c r="B886" s="22"/>
      <x:c r="C886" s="22"/>
      <x:c r="D886" s="22"/>
      <x:c r="E886" s="9" t="str">
        <x:v>裙长未明确</x:v>
      </x:c>
      <x:c r="F886" s="9" t="str">
        <x:v>裙装</x:v>
      </x:c>
      <x:c r="G886" s="9" t="str">
        <x:v>半身裙</x:v>
      </x:c>
      <x:c r="H886" s="9" t="str">
        <x:v>女</x:v>
      </x:c>
      <x:c r="I886" s="9" t="str">
        <x:v>乌丫镂空绣花小天使围裹半裙</x:v>
      </x:c>
      <x:c r="J886" s="9" t="str">
        <x:v>UOOYAA/乌丫</x:v>
      </x:c>
      <x:c r="K886" s="24" t="n">
        <x:v>1766.96</x:v>
      </x:c>
      <x:c r="L886" s="25" t="e">
        <x:f>HYPERLINK("https://item.taobao.com/item.htm?id=918082138650","打开商品")</x:f>
        <x:v>HYPERLINK is not implemented. linkLocation=https://item.taobao.com/item.htm?id=918082138650, friendlyName=打开商品</x:v>
      </x:c>
      <x:c r="M886" s="25" t="e">
        <x:f>HYPERLINK("https://data.zhiyitech.cn/itemDetail/overview/base?itemId=918082138650","打开知衣")</x:f>
        <x:v>HYPERLINK is not implemented. linkLocation=https://data.zhiyitech.cn/itemDetail/overview/base?itemId=918082138650, friendlyName=打开知衣</x:v>
      </x:c>
      <x:c r="N886" s="25" t="e">
        <x:f>HYPERLINK("https://img.alicdn.com/bao/uploaded/i1/2926449694/O1CN01WqJoHA2LTuVoCyBOG_!!4611686018427384862-0-item_pic.jpg","查看主图")</x:f>
        <x:v>HYPERLINK is not implemented. linkLocation=https://img.alicdn.com/bao/uploaded/i1/2926449694/O1CN01WqJoHA2LTuVoCyBOG_!!4611686018427384862-0-item_pic.jpg, friendlyName=查看主图</x:v>
      </x:c>
      <x:c r="O886" s="9" t="str">
        <x:v>标题及既有类目语义复核；乌丫镂空绣花小天使围裹半裙；原类目及标题已能确认半身裙；展示使用已知大类，未知裙长下沉到结构字段，不强猜长短。</x:v>
      </x:c>
      <x:c r="P886" s="9" t="str">
        <x:v>普通男女装</x:v>
      </x:c>
      <x:c r="Q886" s="9" t="str">
        <x:v>W_SKIRTS_AVGPAID_1700_1800_ANNUAL2026.xlsx</x:v>
      </x:c>
      <x:c r="R886" s="9" t="str">
        <x:v>默认</x:v>
      </x:c>
      <x:c r="S886" s="9" t="n">
        <x:v>408</x:v>
      </x:c>
      <x:c r="T886" s="9" t="str">
        <x:v>c25ed77c53c7c5cfcf728778a0e9b297d8689503f62756a939cbd534ca9b587a</x:v>
      </x:c>
      <x:c r="U886" s="9" t="str">
        <x:v>W_SKIRTS_AVGPAID_1700_1800_ANNUAL2026</x:v>
      </x:c>
      <x:c r="V886" s="9" t="str">
        <x:v>W_SKIRTS_AVGPAID_1700_1800_ANNUAL2026.xlsx / 默认 / 第408行 / SHA256 c25ed77c53c7c5cfcf728778a0e9b297d8689503f62756a939cbd534ca9b587a</x:v>
      </x:c>
    </x:row>
    <x:row r="887" ht="58" customHeight="1">
      <x:c r="A887" s="23" t="str">
        <x:v>961203551532</x:v>
      </x:c>
      <x:c r="B887" s="22"/>
      <x:c r="C887" s="22"/>
      <x:c r="D887" s="22"/>
      <x:c r="E887" s="9" t="str">
        <x:v>裙长未明确</x:v>
      </x:c>
      <x:c r="F887" s="9" t="str">
        <x:v>裙装</x:v>
      </x:c>
      <x:c r="G887" s="9" t="str">
        <x:v>半身裙</x:v>
      </x:c>
      <x:c r="H887" s="9" t="str">
        <x:v>女</x:v>
      </x:c>
      <x:c r="I887" s="9" t="str">
        <x:v>UOOYAA/乌丫「爱与天使」天使小熊镂空绣花半裙</x:v>
      </x:c>
      <x:c r="J887" s="9" t="str">
        <x:v>UOOYAA/乌丫</x:v>
      </x:c>
      <x:c r="K887" s="24" t="n">
        <x:v>1597.64</x:v>
      </x:c>
      <x:c r="L887" s="25" t="e">
        <x:f>HYPERLINK("https://item.taobao.com/item.htm?id=961203551532","打开商品")</x:f>
        <x:v>HYPERLINK is not implemented. linkLocation=https://item.taobao.com/item.htm?id=961203551532, friendlyName=打开商品</x:v>
      </x:c>
      <x:c r="M887" s="25" t="e">
        <x:f>HYPERLINK("https://data.zhiyitech.cn/itemDetail/overview/base?itemId=961203551532","打开知衣")</x:f>
        <x:v>HYPERLINK is not implemented. linkLocation=https://data.zhiyitech.cn/itemDetail/overview/base?itemId=961203551532, friendlyName=打开知衣</x:v>
      </x:c>
      <x:c r="N887" s="25" t="e">
        <x:f>HYPERLINK("https://img.alicdn.com/bao/uploaded/i2/2926449694/O1CN01NJxvqv2LTuXgdUI5q_!!4611686018427384862-0-item_pic.jpg","查看主图")</x:f>
        <x:v>HYPERLINK is not implemented. linkLocation=https://img.alicdn.com/bao/uploaded/i2/2926449694/O1CN01NJxvqv2LTuXgdUI5q_!!4611686018427384862-0-item_pic.jpg, friendlyName=查看主图</x:v>
      </x:c>
      <x:c r="O887" s="9" t="str">
        <x:v>标题及既有类目语义复核；UOOYAA/乌丫「爱与天使」天使小熊镂空绣花半裙；原类目及标题已能确认半身裙；展示使用已知大类，未知裙长下沉到结构字段，不强猜长短。</x:v>
      </x:c>
      <x:c r="P887" s="9" t="str">
        <x:v>普通男女装</x:v>
      </x:c>
      <x:c r="Q887" s="9" t="str">
        <x:v>W_SKIRTS_AVGPAID_1500_1600_ANNUAL2026.xlsx</x:v>
      </x:c>
      <x:c r="R887" s="9" t="str">
        <x:v>默认</x:v>
      </x:c>
      <x:c r="S887" s="9" t="n">
        <x:v>350</x:v>
      </x:c>
      <x:c r="T887" s="9" t="str">
        <x:v>deede8b56943df4f914be45dba170f12e69064023d6ef0e88dbde1764f6ba23e</x:v>
      </x:c>
      <x:c r="U887" s="9" t="str">
        <x:v>W_SKIRTS_AVGPAID_1500_1600_ANNUAL2026</x:v>
      </x:c>
      <x:c r="V887" s="9" t="str">
        <x:v>W_SKIRTS_AVGPAID_1500_1600_ANNUAL2026.xlsx / 默认 / 第350行 / SHA256 deede8b56943df4f914be45dba170f12e69064023d6ef0e88dbde1764f6ba23e</x:v>
      </x:c>
    </x:row>
    <x:row r="888" ht="58" customHeight="1">
      <x:c r="A888" s="23" t="str">
        <x:v>966327481528</x:v>
      </x:c>
      <x:c r="B888" s="22"/>
      <x:c r="C888" s="22"/>
      <x:c r="D888" s="22"/>
      <x:c r="E888" s="9" t="str">
        <x:v>裙长未明确</x:v>
      </x:c>
      <x:c r="F888" s="9" t="str">
        <x:v>裙装</x:v>
      </x:c>
      <x:c r="G888" s="9" t="str">
        <x:v>半身裙</x:v>
      </x:c>
      <x:c r="H888" s="9" t="str">
        <x:v>女</x:v>
      </x:c>
      <x:c r="I888" s="9" t="str">
        <x:v>UOOYAA/乌丫精纺毛料围裹半裙</x:v>
      </x:c>
      <x:c r="J888" s="9" t="str">
        <x:v>UOOYAA/乌丫</x:v>
      </x:c>
      <x:c r="K888" s="24" t="n">
        <x:v>1728.11</x:v>
      </x:c>
      <x:c r="L888" s="25" t="e">
        <x:f>HYPERLINK("https://item.taobao.com/item.htm?id=966327481528","打开商品")</x:f>
        <x:v>HYPERLINK is not implemented. linkLocation=https://item.taobao.com/item.htm?id=966327481528, friendlyName=打开商品</x:v>
      </x:c>
      <x:c r="M888" s="25" t="e">
        <x:f>HYPERLINK("https://data.zhiyitech.cn/itemDetail/overview/base?itemId=966327481528","打开知衣")</x:f>
        <x:v>HYPERLINK is not implemented. linkLocation=https://data.zhiyitech.cn/itemDetail/overview/base?itemId=966327481528, friendlyName=打开知衣</x:v>
      </x:c>
      <x:c r="N888" s="25" t="e">
        <x:f>HYPERLINK("https://img.alicdn.com/bao/uploaded/i3/2926449694/O1CN0179hbzp2LTuXuiwxdT_!!4611686018427384862-0-item_pic.jpg","查看主图")</x:f>
        <x:v>HYPERLINK is not implemented. linkLocation=https://img.alicdn.com/bao/uploaded/i3/2926449694/O1CN0179hbzp2LTuXuiwxdT_!!4611686018427384862-0-item_pic.jpg, friendlyName=查看主图</x:v>
      </x:c>
      <x:c r="O888" s="9" t="str">
        <x:v>标题及既有类目语义复核；UOOYAA/乌丫精纺毛料围裹半裙；原类目及标题已能确认半身裙；展示使用已知大类，未知裙长下沉到结构字段，不强猜长短。</x:v>
      </x:c>
      <x:c r="P888" s="9" t="str">
        <x:v>普通男女装</x:v>
      </x:c>
      <x:c r="Q888" s="9" t="str">
        <x:v>W_SKIRTS_AVGPAID_1700_1800_ANNUAL2026.xlsx</x:v>
      </x:c>
      <x:c r="R888" s="9" t="str">
        <x:v>默认</x:v>
      </x:c>
      <x:c r="S888" s="9" t="n">
        <x:v>303</x:v>
      </x:c>
      <x:c r="T888" s="9" t="str">
        <x:v>c25ed77c53c7c5cfcf728778a0e9b297d8689503f62756a939cbd534ca9b587a</x:v>
      </x:c>
      <x:c r="U888" s="9" t="str">
        <x:v>W_SKIRTS_AVGPAID_1700_1800_ANNUAL2026</x:v>
      </x:c>
      <x:c r="V888" s="9" t="str">
        <x:v>W_SKIRTS_AVGPAID_1700_1800_ANNUAL2026.xlsx / 默认 / 第303行 / SHA256 c25ed77c53c7c5cfcf728778a0e9b297d8689503f62756a939cbd534ca9b587a</x:v>
      </x:c>
    </x:row>
    <x:row r="889" ht="58" customHeight="1">
      <x:c r="A889" s="23" t="str">
        <x:v>976803767229</x:v>
      </x:c>
      <x:c r="B889" s="22"/>
      <x:c r="C889" s="22"/>
      <x:c r="D889" s="22"/>
      <x:c r="E889" s="9" t="str">
        <x:v>裙长未明确</x:v>
      </x:c>
      <x:c r="F889" s="9" t="str">
        <x:v>裙装</x:v>
      </x:c>
      <x:c r="G889" s="9" t="str">
        <x:v>半身裙</x:v>
      </x:c>
      <x:c r="H889" s="9" t="str">
        <x:v>女</x:v>
      </x:c>
      <x:c r="I889" s="9" t="str">
        <x:v>UOOYAA/乌丫荷叶边西装半裙</x:v>
      </x:c>
      <x:c r="J889" s="9" t="str">
        <x:v>UOOYAA/乌丫</x:v>
      </x:c>
      <x:c r="K889" s="24" t="n">
        <x:v>1777.8</x:v>
      </x:c>
      <x:c r="L889" s="25" t="e">
        <x:f>HYPERLINK("https://item.taobao.com/item.htm?id=976803767229","打开商品")</x:f>
        <x:v>HYPERLINK is not implemented. linkLocation=https://item.taobao.com/item.htm?id=976803767229, friendlyName=打开商品</x:v>
      </x:c>
      <x:c r="M889" s="25" t="e">
        <x:f>HYPERLINK("https://data.zhiyitech.cn/itemDetail/overview/base?itemId=976803767229","打开知衣")</x:f>
        <x:v>HYPERLINK is not implemented. linkLocation=https://data.zhiyitech.cn/itemDetail/overview/base?itemId=976803767229, friendlyName=打开知衣</x:v>
      </x:c>
      <x:c r="N889" s="25" t="e">
        <x:f>HYPERLINK("https://img.alicdn.com/bao/uploaded/i2/2926449694/O1CN01qyYEEF2LTuYKegjcl_!!4611686018427384862-0-item_pic.jpg","查看主图")</x:f>
        <x:v>HYPERLINK is not implemented. linkLocation=https://img.alicdn.com/bao/uploaded/i2/2926449694/O1CN01qyYEEF2LTuYKegjcl_!!4611686018427384862-0-item_pic.jpg, friendlyName=查看主图</x:v>
      </x:c>
      <x:c r="O889" s="9" t="str">
        <x:v>标题及既有类目语义复核；UOOYAA/乌丫荷叶边西装半裙；原类目及标题已能确认半身裙；展示使用已知大类，未知裙长下沉到结构字段，不强猜长短。</x:v>
      </x:c>
      <x:c r="P889" s="9" t="str">
        <x:v>普通男女装</x:v>
      </x:c>
      <x:c r="Q889" s="9" t="str">
        <x:v>W_SKIRTS_AVGPAID_1700_1800_ANNUAL2026.xlsx</x:v>
      </x:c>
      <x:c r="R889" s="9" t="str">
        <x:v>默认</x:v>
      </x:c>
      <x:c r="S889" s="9" t="n">
        <x:v>171</x:v>
      </x:c>
      <x:c r="T889" s="9" t="str">
        <x:v>c25ed77c53c7c5cfcf728778a0e9b297d8689503f62756a939cbd534ca9b587a</x:v>
      </x:c>
      <x:c r="U889" s="9" t="str">
        <x:v>W_SKIRTS_AVGPAID_1700_1800_ANNUAL2026</x:v>
      </x:c>
      <x:c r="V889" s="9" t="str">
        <x:v>W_SKIRTS_AVGPAID_1700_1800_ANNUAL2026.xlsx / 默认 / 第171行 / SHA256 c25ed77c53c7c5cfcf728778a0e9b297d8689503f62756a939cbd534ca9b587a</x:v>
      </x:c>
    </x:row>
    <x:row r="890" ht="58" customHeight="1">
      <x:c r="A890" s="23" t="str">
        <x:v>981295569746</x:v>
      </x:c>
      <x:c r="B890" s="22"/>
      <x:c r="C890" s="22"/>
      <x:c r="D890" s="22"/>
      <x:c r="E890" s="9" t="str">
        <x:v>裙长未明确</x:v>
      </x:c>
      <x:c r="F890" s="9" t="str">
        <x:v>裙装</x:v>
      </x:c>
      <x:c r="G890" s="9" t="str">
        <x:v>半身裙</x:v>
      </x:c>
      <x:c r="H890" s="9" t="str">
        <x:v>女</x:v>
      </x:c>
      <x:c r="I890" s="9" t="str">
        <x:v>乌丫蕾丝拼接松紧腰头半裙</x:v>
      </x:c>
      <x:c r="J890" s="9" t="str">
        <x:v>UOOYAA/乌丫</x:v>
      </x:c>
      <x:c r="K890" s="24" t="n">
        <x:v>1315.46</x:v>
      </x:c>
      <x:c r="L890" s="25" t="e">
        <x:f>HYPERLINK("https://item.taobao.com/item.htm?id=981295569746","打开商品")</x:f>
        <x:v>HYPERLINK is not implemented. linkLocation=https://item.taobao.com/item.htm?id=981295569746, friendlyName=打开商品</x:v>
      </x:c>
      <x:c r="M890" s="25" t="e">
        <x:f>HYPERLINK("https://data.zhiyitech.cn/itemDetail/overview/base?itemId=981295569746","打开知衣")</x:f>
        <x:v>HYPERLINK is not implemented. linkLocation=https://data.zhiyitech.cn/itemDetail/overview/base?itemId=981295569746, friendlyName=打开知衣</x:v>
      </x:c>
      <x:c r="N890" s="25" t="e">
        <x:f>HYPERLINK("https://img.alicdn.com/bao/uploaded/i1/2926449694/O1CN01kq14UA2LTuYgz1FFC_!!4611686018427384862-0-item_pic.jpg","查看主图")</x:f>
        <x:v>HYPERLINK is not implemented. linkLocation=https://img.alicdn.com/bao/uploaded/i1/2926449694/O1CN01kq14UA2LTuYgz1FFC_!!4611686018427384862-0-item_pic.jpg, friendlyName=查看主图</x:v>
      </x:c>
      <x:c r="O890" s="9" t="str">
        <x:v>标题及既有类目语义复核；乌丫蕾丝拼接松紧腰头半裙；原类目及标题已能确认半身裙；展示使用已知大类，未知裙长下沉到结构字段，不强猜长短。</x:v>
      </x:c>
      <x:c r="P890" s="9" t="str">
        <x:v>普通男女装</x:v>
      </x:c>
      <x:c r="Q890" s="9" t="str">
        <x:v>W_SKIRTS_AVGPAID_1300_1400_ANNUAL2026.xlsx</x:v>
      </x:c>
      <x:c r="R890" s="9" t="str">
        <x:v>默认</x:v>
      </x:c>
      <x:c r="S890" s="9" t="n">
        <x:v>84</x:v>
      </x:c>
      <x:c r="T890" s="9" t="str">
        <x:v>bd4dae1e08e9eca7ddd0669235bf59107cdc418b9c2898fc16f36a7ab5748692</x:v>
      </x:c>
      <x:c r="U890" s="9" t="str">
        <x:v>W_SKIRTS_AVGPAID_1300_1400_ANNUAL2026</x:v>
      </x:c>
      <x:c r="V890" s="9" t="str">
        <x:v>W_SKIRTS_AVGPAID_1300_1400_ANNUAL2026.xlsx / 默认 / 第84行 / SHA256 bd4dae1e08e9eca7ddd0669235bf59107cdc418b9c2898fc16f36a7ab5748692</x:v>
      </x:c>
    </x:row>
    <x:row r="891" ht="58" customHeight="1">
      <x:c r="A891" s="23" t="str">
        <x:v>770695182353</x:v>
      </x:c>
      <x:c r="B891" s="22"/>
      <x:c r="C891" s="22"/>
      <x:c r="D891" s="22"/>
      <x:c r="E891" s="9" t="str">
        <x:v>裙长未明确</x:v>
      </x:c>
      <x:c r="F891" s="9" t="str">
        <x:v>裙装</x:v>
      </x:c>
      <x:c r="G891" s="9" t="str">
        <x:v>半身裙</x:v>
      </x:c>
      <x:c r="H891" s="9" t="str">
        <x:v>女</x:v>
      </x:c>
      <x:c r="I891" s="9" t="str">
        <x:v>城市山民UrbanTribe女式丝麻提花系腰裹裙CF89124</x:v>
      </x:c>
      <x:c r="J891" s="9" t="str">
        <x:v>URBANTRIBE/城市山民</x:v>
      </x:c>
      <x:c r="K891" s="24" t="n">
        <x:v>1312.97</x:v>
      </x:c>
      <x:c r="L891" s="25" t="e">
        <x:f>HYPERLINK("https://item.taobao.com/item.htm?id=770695182353","打开商品")</x:f>
        <x:v>HYPERLINK is not implemented. linkLocation=https://item.taobao.com/item.htm?id=770695182353, friendlyName=打开商品</x:v>
      </x:c>
      <x:c r="M891" s="25" t="e">
        <x:f>HYPERLINK("https://data.zhiyitech.cn/itemDetail/overview/base?itemId=770695182353","打开知衣")</x:f>
        <x:v>HYPERLINK is not implemented. linkLocation=https://data.zhiyitech.cn/itemDetail/overview/base?itemId=770695182353, friendlyName=打开知衣</x:v>
      </x:c>
      <x:c r="N891" s="25" t="e">
        <x:f>HYPERLINK("https://img.alicdn.com/bao/uploaded/i1/2476371741/O1CN01eucVgl1OjQThZtE99_!!2476371741.jpg","查看主图")</x:f>
        <x:v>HYPERLINK is not implemented. linkLocation=https://img.alicdn.com/bao/uploaded/i1/2476371741/O1CN01eucVgl1OjQThZtE99_!!2476371741.jpg, friendlyName=查看主图</x:v>
      </x:c>
      <x:c r="O891" s="9" t="str">
        <x:v>标题及既有类目语义复核；城市山民UrbanTribe女式丝麻提花系腰裹裙CF89124；原类目及标题已能确认半身裙；展示使用已知大类，未知裙长下沉到结构字段，不强猜长短。</x:v>
      </x:c>
      <x:c r="P891" s="9" t="str">
        <x:v>普通男女装</x:v>
      </x:c>
      <x:c r="Q891" s="9" t="str">
        <x:v>W_SKIRTS_AVGPAID_1300_1400_ANNUAL2026.xlsx</x:v>
      </x:c>
      <x:c r="R891" s="9" t="str">
        <x:v>默认</x:v>
      </x:c>
      <x:c r="S891" s="9" t="n">
        <x:v>263</x:v>
      </x:c>
      <x:c r="T891" s="9" t="str">
        <x:v>bd4dae1e08e9eca7ddd0669235bf59107cdc418b9c2898fc16f36a7ab5748692</x:v>
      </x:c>
      <x:c r="U891" s="9" t="str">
        <x:v>W_SKIRTS_AVGPAID_1300_1400_ANNUAL2026</x:v>
      </x:c>
      <x:c r="V891" s="9" t="str">
        <x:v>W_SKIRTS_AVGPAID_1300_1400_ANNUAL2026.xlsx / 默认 / 第263行 / SHA256 bd4dae1e08e9eca7ddd0669235bf59107cdc418b9c2898fc16f36a7ab5748692</x:v>
      </x:c>
    </x:row>
    <x:row r="892" ht="58" customHeight="1">
      <x:c r="A892" s="23" t="str">
        <x:v>747990712467</x:v>
      </x:c>
      <x:c r="B892" s="22"/>
      <x:c r="C892" s="22"/>
      <x:c r="D892" s="22"/>
      <x:c r="E892" s="9" t="str">
        <x:v>裙长未明确</x:v>
      </x:c>
      <x:c r="F892" s="9" t="str">
        <x:v>裙装</x:v>
      </x:c>
      <x:c r="G892" s="9" t="str">
        <x:v>半身裙</x:v>
      </x:c>
      <x:c r="H892" s="9" t="str">
        <x:v>女</x:v>
      </x:c>
      <x:c r="I892" s="9" t="str">
        <x:v>U.N.Q 个性风格土耳其JIN口反绒绵羊皮抽绳弹力开叉半身真皮皮裙</x:v>
      </x:c>
      <x:c r="J892" s="9" t="str">
        <x:v>U．N．Q/幽诺琦</x:v>
      </x:c>
      <x:c r="K892" s="24" t="n">
        <x:v>1349.7</x:v>
      </x:c>
      <x:c r="L892" s="25" t="e">
        <x:f>HYPERLINK("https://item.taobao.com/item.htm?id=747990712467","打开商品")</x:f>
        <x:v>HYPERLINK is not implemented. linkLocation=https://item.taobao.com/item.htm?id=747990712467, friendlyName=打开商品</x:v>
      </x:c>
      <x:c r="M892" s="25" t="e">
        <x:f>HYPERLINK("https://data.zhiyitech.cn/itemDetail/overview/base?itemId=747990712467","打开知衣")</x:f>
        <x:v>HYPERLINK is not implemented. linkLocation=https://data.zhiyitech.cn/itemDetail/overview/base?itemId=747990712467, friendlyName=打开知衣</x:v>
      </x:c>
      <x:c r="N892" s="25" t="e">
        <x:f>HYPERLINK("https://img.alicdn.com/bao/uploaded/i1/44750090/O1CN01euIsZ91CXGdnnI13t_!!44750090.jpg","查看主图")</x:f>
        <x:v>HYPERLINK is not implemented. linkLocation=https://img.alicdn.com/bao/uploaded/i1/44750090/O1CN01euIsZ91CXGdnnI13t_!!44750090.jpg, friendlyName=查看主图</x:v>
      </x:c>
      <x:c r="O892" s="9" t="str">
        <x:v>标题及既有类目语义复核；U.N.Q 个性风格土耳其JIN口反绒绵羊皮抽绳弹力开叉半身真皮皮裙；原类目及标题已能确认半身裙；展示使用已知大类，未知裙长下沉到结构字段，不强猜长短。</x:v>
      </x:c>
      <x:c r="P892" s="9" t="str">
        <x:v>普通男女装</x:v>
      </x:c>
      <x:c r="Q892" s="9" t="str">
        <x:v>W_SKIRTS_AVGPAID_1300_1400_ANNUAL2026.xlsx</x:v>
      </x:c>
      <x:c r="R892" s="9" t="str">
        <x:v>默认</x:v>
      </x:c>
      <x:c r="S892" s="9" t="n">
        <x:v>319</x:v>
      </x:c>
      <x:c r="T892" s="9" t="str">
        <x:v>bd4dae1e08e9eca7ddd0669235bf59107cdc418b9c2898fc16f36a7ab5748692</x:v>
      </x:c>
      <x:c r="U892" s="9" t="str">
        <x:v>W_SKIRTS_AVGPAID_1300_1400_ANNUAL2026</x:v>
      </x:c>
      <x:c r="V892" s="9" t="str">
        <x:v>W_SKIRTS_AVGPAID_1300_1400_ANNUAL2026.xlsx / 默认 / 第319行 / SHA256 bd4dae1e08e9eca7ddd0669235bf59107cdc418b9c2898fc16f36a7ab5748692</x:v>
      </x:c>
    </x:row>
    <x:row r="893" ht="58" customHeight="1">
      <x:c r="A893" s="23" t="str">
        <x:v>696682378118</x:v>
      </x:c>
      <x:c r="B893" s="22"/>
      <x:c r="C893" s="22"/>
      <x:c r="D893" s="22"/>
      <x:c r="E893" s="9" t="str">
        <x:v>裙长未明确</x:v>
      </x:c>
      <x:c r="F893" s="9" t="str">
        <x:v>裙装</x:v>
      </x:c>
      <x:c r="G893" s="9" t="str">
        <x:v>半身裙</x:v>
      </x:c>
      <x:c r="H893" s="9" t="str">
        <x:v>女</x:v>
      </x:c>
      <x:c r="I893" s="9" t="str">
        <x:v>Valacy's 特种羊绒云朵纱┋软软糯糯触感 经典版型羊绒针织半裙</x:v>
      </x:c>
      <x:c r="J893" s="9" t="str">
        <x:v>VALACY'S</x:v>
      </x:c>
      <x:c r="K893" s="24" t="n">
        <x:v>1793.6</x:v>
      </x:c>
      <x:c r="L893" s="25" t="e">
        <x:f>HYPERLINK("https://item.taobao.com/item.htm?id=696682378118","打开商品")</x:f>
        <x:v>HYPERLINK is not implemented. linkLocation=https://item.taobao.com/item.htm?id=696682378118, friendlyName=打开商品</x:v>
      </x:c>
      <x:c r="M893" s="25" t="e">
        <x:f>HYPERLINK("https://data.zhiyitech.cn/itemDetail/overview/base?itemId=696682378118","打开知衣")</x:f>
        <x:v>HYPERLINK is not implemented. linkLocation=https://data.zhiyitech.cn/itemDetail/overview/base?itemId=696682378118, friendlyName=打开知衣</x:v>
      </x:c>
      <x:c r="N893" s="25" t="e">
        <x:f>HYPERLINK("https://img.alicdn.com/bao/uploaded/i4/104396604/O1CN011LKhQg1yegQTF2u2M_!!104396604.jpg","查看主图")</x:f>
        <x:v>HYPERLINK is not implemented. linkLocation=https://img.alicdn.com/bao/uploaded/i4/104396604/O1CN011LKhQg1yegQTF2u2M_!!104396604.jpg, friendlyName=查看主图</x:v>
      </x:c>
      <x:c r="O893" s="9" t="str">
        <x:v>标题及既有类目语义复核；Valacy's 特种羊绒云朵纱┋软软糯糯触感 经典版型羊绒针织半裙；原类目及标题已能确认半身裙；展示使用已知大类，未知裙长下沉到结构字段，不强猜长短。</x:v>
      </x:c>
      <x:c r="P893" s="9" t="str">
        <x:v>普通男女装</x:v>
      </x:c>
      <x:c r="Q893" s="9" t="str">
        <x:v>W_SKIRTS_AVGPAID_1700_1800_ANNUAL2026.xlsx</x:v>
      </x:c>
      <x:c r="R893" s="9" t="str">
        <x:v>默认</x:v>
      </x:c>
      <x:c r="S893" s="9" t="n">
        <x:v>38</x:v>
      </x:c>
      <x:c r="T893" s="9" t="str">
        <x:v>c25ed77c53c7c5cfcf728778a0e9b297d8689503f62756a939cbd534ca9b587a</x:v>
      </x:c>
      <x:c r="U893" s="9" t="str">
        <x:v>W_SKIRTS_AVGPAID_1700_1800_ANNUAL2026</x:v>
      </x:c>
      <x:c r="V893" s="9" t="str">
        <x:v>W_SKIRTS_AVGPAID_1700_1800_ANNUAL2026.xlsx / 默认 / 第38行 / SHA256 c25ed77c53c7c5cfcf728778a0e9b297d8689503f62756a939cbd534ca9b587a</x:v>
      </x:c>
    </x:row>
    <x:row r="894" ht="58" customHeight="1">
      <x:c r="A894" s="23" t="str">
        <x:v>883618926902</x:v>
      </x:c>
      <x:c r="B894" s="22"/>
      <x:c r="C894" s="22"/>
      <x:c r="D894" s="22"/>
      <x:c r="E894" s="9" t="str">
        <x:v>裙长未明确</x:v>
      </x:c>
      <x:c r="F894" s="9" t="str">
        <x:v>裙装</x:v>
      </x:c>
      <x:c r="G894" s="9" t="str">
        <x:v>半身裙</x:v>
      </x:c>
      <x:c r="H894" s="9" t="str">
        <x:v>女</x:v>
      </x:c>
      <x:c r="I894" s="9" t="str">
        <x:v>惟夕 VESSI |‘永恒' 西班牙进口绵羊皮弹力松紧腰抽绳半身裙皮裙</x:v>
      </x:c>
      <x:c r="J894" s="9" t="str">
        <x:v>VESSI APPAREL</x:v>
      </x:c>
      <x:c r="K894" s="24" t="n">
        <x:v>1386.46</x:v>
      </x:c>
      <x:c r="L894" s="25" t="e">
        <x:f>HYPERLINK("https://item.taobao.com/item.htm?id=883618926902","打开商品")</x:f>
        <x:v>HYPERLINK is not implemented. linkLocation=https://item.taobao.com/item.htm?id=883618926902, friendlyName=打开商品</x:v>
      </x:c>
      <x:c r="M894" s="25" t="e">
        <x:f>HYPERLINK("https://data.zhiyitech.cn/itemDetail/overview/base?itemId=883618926902","打开知衣")</x:f>
        <x:v>HYPERLINK is not implemented. linkLocation=https://data.zhiyitech.cn/itemDetail/overview/base?itemId=883618926902, friendlyName=打开知衣</x:v>
      </x:c>
      <x:c r="N894" s="25" t="e">
        <x:f>HYPERLINK("https://img.alicdn.com/bao/uploaded/i3/474866022/O1CN01oHMCzW1uM88bPK8kN_!!474866022.jpg","查看主图")</x:f>
        <x:v>HYPERLINK is not implemented. linkLocation=https://img.alicdn.com/bao/uploaded/i3/474866022/O1CN01oHMCzW1uM88bPK8kN_!!474866022.jpg, friendlyName=查看主图</x:v>
      </x:c>
      <x:c r="O894" s="9" t="str">
        <x:v>标题及既有类目语义复核；惟夕 VESSI |‘永恒' 西班牙进口绵羊皮弹力松紧腰抽绳半身裙皮裙；原类目及标题已能确认半身裙；展示使用已知大类，未知裙长下沉到结构字段，不强猜长短。</x:v>
      </x:c>
      <x:c r="P894" s="9" t="str">
        <x:v>普通男女装</x:v>
      </x:c>
      <x:c r="Q894" s="9" t="str">
        <x:v>W_SKIRTS_AVGPAID_1300_1400_ANNUAL2026.xlsx</x:v>
      </x:c>
      <x:c r="R894" s="9" t="str">
        <x:v>默认</x:v>
      </x:c>
      <x:c r="S894" s="9" t="n">
        <x:v>392</x:v>
      </x:c>
      <x:c r="T894" s="9" t="str">
        <x:v>bd4dae1e08e9eca7ddd0669235bf59107cdc418b9c2898fc16f36a7ab5748692</x:v>
      </x:c>
      <x:c r="U894" s="9" t="str">
        <x:v>W_SKIRTS_AVGPAID_1300_1400_ANNUAL2026</x:v>
      </x:c>
      <x:c r="V894" s="9" t="str">
        <x:v>W_SKIRTS_AVGPAID_1300_1400_ANNUAL2026.xlsx / 默认 / 第392行 / SHA256 bd4dae1e08e9eca7ddd0669235bf59107cdc418b9c2898fc16f36a7ab5748692</x:v>
      </x:c>
    </x:row>
    <x:row r="895" ht="58" customHeight="1">
      <x:c r="A895" s="23" t="str">
        <x:v>831923785077</x:v>
      </x:c>
      <x:c r="B895" s="22"/>
      <x:c r="C895" s="22"/>
      <x:c r="D895" s="22"/>
      <x:c r="E895" s="9" t="str">
        <x:v>裙长未明确</x:v>
      </x:c>
      <x:c r="F895" s="9" t="str">
        <x:v>裙装</x:v>
      </x:c>
      <x:c r="G895" s="9" t="str">
        <x:v>半身裙</x:v>
      </x:c>
      <x:c r="H895" s="9" t="str">
        <x:v>女</x:v>
      </x:c>
      <x:c r="I895" s="9" t="str">
        <x:v>VGRASS优雅新中式提花刺绣套装</x:v>
      </x:c>
      <x:c r="J895" s="9" t="str">
        <x:v>VGRASS</x:v>
      </x:c>
      <x:c r="K895" s="24" t="n">
        <x:v>1773.99</x:v>
      </x:c>
      <x:c r="L895" s="25" t="e">
        <x:f>HYPERLINK("https://item.taobao.com/item.htm?id=831923785077","打开商品")</x:f>
        <x:v>HYPERLINK is not implemented. linkLocation=https://item.taobao.com/item.htm?id=831923785077, friendlyName=打开商品</x:v>
      </x:c>
      <x:c r="M895" s="25" t="e">
        <x:f>HYPERLINK("https://data.zhiyitech.cn/itemDetail/overview/base?itemId=831923785077","打开知衣")</x:f>
        <x:v>HYPERLINK is not implemented. linkLocation=https://data.zhiyitech.cn/itemDetail/overview/base?itemId=831923785077, friendlyName=打开知衣</x:v>
      </x:c>
      <x:c r="N895" s="25" t="e">
        <x:f>HYPERLINK("https://img.alicdn.com/bao/uploaded/i2/2201410379958/O1CN01gIEmTe2NQp7aJeOs9_!!4611686018427379894-0-item_pic.jpg","查看主图")</x:f>
        <x:v>HYPERLINK is not implemented. linkLocation=https://img.alicdn.com/bao/uploaded/i2/2201410379958/O1CN01gIEmTe2NQp7aJeOs9_!!4611686018427379894-0-item_pic.jpg, friendlyName=查看主图</x:v>
      </x:c>
      <x:c r="O895" s="9" t="str">
        <x:v>标题及既有类目语义复核；VGRASS优雅新中式提花刺绣套装；原类目及标题已能确认半身裙；展示使用已知大类，未知裙长下沉到结构字段，不强猜长短。</x:v>
      </x:c>
      <x:c r="P895" s="9" t="str">
        <x:v>普通男女装</x:v>
      </x:c>
      <x:c r="Q895" s="9" t="str">
        <x:v>W_SKIRTS_AVGPAID_1700_1800_ANNUAL2026.xlsx</x:v>
      </x:c>
      <x:c r="R895" s="9" t="str">
        <x:v>默认</x:v>
      </x:c>
      <x:c r="S895" s="9" t="n">
        <x:v>270</x:v>
      </x:c>
      <x:c r="T895" s="9" t="str">
        <x:v>c25ed77c53c7c5cfcf728778a0e9b297d8689503f62756a939cbd534ca9b587a</x:v>
      </x:c>
      <x:c r="U895" s="9" t="str">
        <x:v>W_SKIRTS_AVGPAID_1700_1800_ANNUAL2026</x:v>
      </x:c>
      <x:c r="V895" s="9" t="str">
        <x:v>W_SKIRTS_AVGPAID_1700_1800_ANNUAL2026.xlsx / 默认 / 第270行 / SHA256 c25ed77c53c7c5cfcf728778a0e9b297d8689503f62756a939cbd534ca9b587a</x:v>
      </x:c>
    </x:row>
    <x:row r="896" ht="58" customHeight="1">
      <x:c r="A896" s="23" t="str">
        <x:v>858071253320</x:v>
      </x:c>
      <x:c r="B896" s="22"/>
      <x:c r="C896" s="22"/>
      <x:c r="D896" s="22"/>
      <x:c r="E896" s="9" t="str">
        <x:v>裙长未明确</x:v>
      </x:c>
      <x:c r="F896" s="9" t="str">
        <x:v>裙装</x:v>
      </x:c>
      <x:c r="G896" s="9" t="str">
        <x:v>半身裙</x:v>
      </x:c>
      <x:c r="H896" s="9" t="str">
        <x:v>女</x:v>
      </x:c>
      <x:c r="I896" s="9" t="str">
        <x:v>【金陵家宴】VGRASS维格娜丝蕾丝A字半裙春季新款复古编织灰色裙</x:v>
      </x:c>
      <x:c r="J896" s="9" t="str">
        <x:v>VGRASS</x:v>
      </x:c>
      <x:c r="K896" s="24" t="n">
        <x:v>1794.06</x:v>
      </x:c>
      <x:c r="L896" s="25" t="e">
        <x:f>HYPERLINK("https://item.taobao.com/item.htm?id=858071253320","打开商品")</x:f>
        <x:v>HYPERLINK is not implemented. linkLocation=https://item.taobao.com/item.htm?id=858071253320, friendlyName=打开商品</x:v>
      </x:c>
      <x:c r="M896" s="25" t="e">
        <x:f>HYPERLINK("https://data.zhiyitech.cn/itemDetail/overview/base?itemId=858071253320","打开知衣")</x:f>
        <x:v>HYPERLINK is not implemented. linkLocation=https://data.zhiyitech.cn/itemDetail/overview/base?itemId=858071253320, friendlyName=打开知衣</x:v>
      </x:c>
      <x:c r="N896" s="25" t="e">
        <x:f>HYPERLINK("https://img.alicdn.com/bao/uploaded/i1/2201410379958/O1CN010JPxrY2NQp7csBtQ1_!!4611686018427379894-0-item_pic.jpg","查看主图")</x:f>
        <x:v>HYPERLINK is not implemented. linkLocation=https://img.alicdn.com/bao/uploaded/i1/2201410379958/O1CN010JPxrY2NQp7csBtQ1_!!4611686018427379894-0-item_pic.jpg, friendlyName=查看主图</x:v>
      </x:c>
      <x:c r="O896" s="9" t="str">
        <x:v>标题及既有类目语义复核；【金陵家宴】VGRASS维格娜丝蕾丝A字半裙春季新款复古编织灰色裙；原类目及标题已能确认半身裙；展示使用已知大类，未知裙长下沉到结构字段，不强猜长短。</x:v>
      </x:c>
      <x:c r="P896" s="9" t="str">
        <x:v>普通男女装</x:v>
      </x:c>
      <x:c r="Q896" s="9" t="str">
        <x:v>W_SKIRTS_AVGPAID_1700_1800_ANNUAL2026.xlsx</x:v>
      </x:c>
      <x:c r="R896" s="9" t="str">
        <x:v>默认</x:v>
      </x:c>
      <x:c r="S896" s="9" t="n">
        <x:v>258</x:v>
      </x:c>
      <x:c r="T896" s="9" t="str">
        <x:v>c25ed77c53c7c5cfcf728778a0e9b297d8689503f62756a939cbd534ca9b587a</x:v>
      </x:c>
      <x:c r="U896" s="9" t="str">
        <x:v>W_SKIRTS_AVGPAID_1700_1800_ANNUAL2026</x:v>
      </x:c>
      <x:c r="V896" s="9" t="str">
        <x:v>W_SKIRTS_AVGPAID_1700_1800_ANNUAL2026.xlsx / 默认 / 第258行 / SHA256 c25ed77c53c7c5cfcf728778a0e9b297d8689503f62756a939cbd534ca9b587a</x:v>
      </x:c>
    </x:row>
    <x:row r="897" ht="58" customHeight="1">
      <x:c r="A897" s="23" t="str">
        <x:v>897237261035</x:v>
      </x:c>
      <x:c r="B897" s="22"/>
      <x:c r="C897" s="22"/>
      <x:c r="D897" s="22"/>
      <x:c r="E897" s="9" t="str">
        <x:v>裙长未明确</x:v>
      </x:c>
      <x:c r="F897" s="9" t="str">
        <x:v>裙装</x:v>
      </x:c>
      <x:c r="G897" s="9" t="str">
        <x:v>半身裙</x:v>
      </x:c>
      <x:c r="H897" s="9" t="str">
        <x:v>女</x:v>
      </x:c>
      <x:c r="I897" s="9" t="str">
        <x:v>*【三醋酸】VGRASS女装夏季新款肌理感缎面高级A字版百搭半身裙女</x:v>
      </x:c>
      <x:c r="J897" s="9" t="str">
        <x:v>VGRASS</x:v>
      </x:c>
      <x:c r="K897" s="24" t="n">
        <x:v>1789.37</x:v>
      </x:c>
      <x:c r="L897" s="25" t="e">
        <x:f>HYPERLINK("https://item.taobao.com/item.htm?id=897237261035","打开商品")</x:f>
        <x:v>HYPERLINK is not implemented. linkLocation=https://item.taobao.com/item.htm?id=897237261035, friendlyName=打开商品</x:v>
      </x:c>
      <x:c r="M897" s="25" t="e">
        <x:f>HYPERLINK("https://data.zhiyitech.cn/itemDetail/overview/base?itemId=897237261035","打开知衣")</x:f>
        <x:v>HYPERLINK is not implemented. linkLocation=https://data.zhiyitech.cn/itemDetail/overview/base?itemId=897237261035, friendlyName=打开知衣</x:v>
      </x:c>
      <x:c r="N897" s="25" t="e">
        <x:f>HYPERLINK("https://img.alicdn.com/bao/uploaded/i1/2201410379958/O1CN01WLuEH12NQp4JFCnlK_!!4611686018427379894-0-item_pic.jpg","查看主图")</x:f>
        <x:v>HYPERLINK is not implemented. linkLocation=https://img.alicdn.com/bao/uploaded/i1/2201410379958/O1CN01WLuEH12NQp4JFCnlK_!!4611686018427379894-0-item_pic.jpg, friendlyName=查看主图</x:v>
      </x:c>
      <x:c r="O897" s="9" t="str">
        <x:v>标题及既有类目语义复核；*【三醋酸】VGRASS女装夏季新款肌理感缎面高级A字版百搭半身裙女；原类目及标题已能确认半身裙；展示使用已知大类，未知裙长下沉到结构字段，不强猜长短。</x:v>
      </x:c>
      <x:c r="P897" s="9" t="str">
        <x:v>普通男女装</x:v>
      </x:c>
      <x:c r="Q897" s="9" t="str">
        <x:v>W_SKIRTS_AVGPAID_1700_1800_ANNUAL2026.xlsx</x:v>
      </x:c>
      <x:c r="R897" s="9" t="str">
        <x:v>默认</x:v>
      </x:c>
      <x:c r="S897" s="9" t="n">
        <x:v>152</x:v>
      </x:c>
      <x:c r="T897" s="9" t="str">
        <x:v>c25ed77c53c7c5cfcf728778a0e9b297d8689503f62756a939cbd534ca9b587a</x:v>
      </x:c>
      <x:c r="U897" s="9" t="str">
        <x:v>W_SKIRTS_AVGPAID_1700_1800_ANNUAL2026</x:v>
      </x:c>
      <x:c r="V897" s="9" t="str">
        <x:v>W_SKIRTS_AVGPAID_1700_1800_ANNUAL2026.xlsx / 默认 / 第152行 / SHA256 c25ed77c53c7c5cfcf728778a0e9b297d8689503f62756a939cbd534ca9b587a</x:v>
      </x:c>
    </x:row>
    <x:row r="898" ht="58" customHeight="1">
      <x:c r="A898" s="23" t="str">
        <x:v>902207035636</x:v>
      </x:c>
      <x:c r="B898" s="22"/>
      <x:c r="C898" s="22"/>
      <x:c r="D898" s="22"/>
      <x:c r="E898" s="9" t="str">
        <x:v>裙长未明确</x:v>
      </x:c>
      <x:c r="F898" s="9" t="str">
        <x:v>裙装</x:v>
      </x:c>
      <x:c r="G898" s="9" t="str">
        <x:v>半身裙</x:v>
      </x:c>
      <x:c r="H898" s="9" t="str">
        <x:v>女</x:v>
      </x:c>
      <x:c r="I898" s="9" t="str">
        <x:v>VGRASS对位拼接丝棉欧根纱A字裙</x:v>
      </x:c>
      <x:c r="J898" s="9" t="str">
        <x:v>VGRASS</x:v>
      </x:c>
      <x:c r="K898" s="24" t="n">
        <x:v>1793.03</x:v>
      </x:c>
      <x:c r="L898" s="25" t="e">
        <x:f>HYPERLINK("https://item.taobao.com/item.htm?id=902207035636","打开商品")</x:f>
        <x:v>HYPERLINK is not implemented. linkLocation=https://item.taobao.com/item.htm?id=902207035636, friendlyName=打开商品</x:v>
      </x:c>
      <x:c r="M898" s="25" t="e">
        <x:f>HYPERLINK("https://data.zhiyitech.cn/itemDetail/overview/base?itemId=902207035636","打开知衣")</x:f>
        <x:v>HYPERLINK is not implemented. linkLocation=https://data.zhiyitech.cn/itemDetail/overview/base?itemId=902207035636, friendlyName=打开知衣</x:v>
      </x:c>
      <x:c r="N898" s="25" t="e">
        <x:f>HYPERLINK("https://img.alicdn.com/bao/uploaded/i3/2201410379958/O1CN01B0Y4sR2NQp4OS17qW_!!4611686018427379894-0-item_pic.jpg","查看主图")</x:f>
        <x:v>HYPERLINK is not implemented. linkLocation=https://img.alicdn.com/bao/uploaded/i3/2201410379958/O1CN01B0Y4sR2NQp4OS17qW_!!4611686018427379894-0-item_pic.jpg, friendlyName=查看主图</x:v>
      </x:c>
      <x:c r="O898" s="9" t="str">
        <x:v>标题及既有类目语义复核；VGRASS对位拼接丝棉欧根纱A字裙；原类目及标题已能确认半身裙；展示使用已知大类，未知裙长下沉到结构字段，不强猜长短。</x:v>
      </x:c>
      <x:c r="P898" s="9" t="str">
        <x:v>普通男女装</x:v>
      </x:c>
      <x:c r="Q898" s="9" t="str">
        <x:v>W_SKIRTS_AVGPAID_1700_1800_ANNUAL2026.xlsx</x:v>
      </x:c>
      <x:c r="R898" s="9" t="str">
        <x:v>默认</x:v>
      </x:c>
      <x:c r="S898" s="9" t="n">
        <x:v>316</x:v>
      </x:c>
      <x:c r="T898" s="9" t="str">
        <x:v>c25ed77c53c7c5cfcf728778a0e9b297d8689503f62756a939cbd534ca9b587a</x:v>
      </x:c>
      <x:c r="U898" s="9" t="str">
        <x:v>W_SKIRTS_AVGPAID_1700_1800_ANNUAL2026</x:v>
      </x:c>
      <x:c r="V898" s="9" t="str">
        <x:v>W_SKIRTS_AVGPAID_1700_1800_ANNUAL2026.xlsx / 默认 / 第316行 / SHA256 c25ed77c53c7c5cfcf728778a0e9b297d8689503f62756a939cbd534ca9b587a</x:v>
      </x:c>
    </x:row>
    <x:row r="899" ht="58" customHeight="1">
      <x:c r="A899" s="23" t="str">
        <x:v>914293635801</x:v>
      </x:c>
      <x:c r="B899" s="22"/>
      <x:c r="C899" s="22"/>
      <x:c r="D899" s="22"/>
      <x:c r="E899" s="9" t="str">
        <x:v>裙长未明确</x:v>
      </x:c>
      <x:c r="F899" s="9" t="str">
        <x:v>裙装</x:v>
      </x:c>
      <x:c r="G899" s="9" t="str">
        <x:v>半身裙</x:v>
      </x:c>
      <x:c r="H899" s="9" t="str">
        <x:v>女</x:v>
      </x:c>
      <x:c r="I899" s="9" t="str">
        <x:v>VGRASS定位印花A字伞摆半裙</x:v>
      </x:c>
      <x:c r="J899" s="9" t="str">
        <x:v>VGRASS</x:v>
      </x:c>
      <x:c r="K899" s="24" t="n">
        <x:v>1739.46</x:v>
      </x:c>
      <x:c r="L899" s="25" t="e">
        <x:f>HYPERLINK("https://item.taobao.com/item.htm?id=914293635801","打开商品")</x:f>
        <x:v>HYPERLINK is not implemented. linkLocation=https://item.taobao.com/item.htm?id=914293635801, friendlyName=打开商品</x:v>
      </x:c>
      <x:c r="M899" s="25" t="e">
        <x:f>HYPERLINK("https://data.zhiyitech.cn/itemDetail/overview/base?itemId=914293635801","打开知衣")</x:f>
        <x:v>HYPERLINK is not implemented. linkLocation=https://data.zhiyitech.cn/itemDetail/overview/base?itemId=914293635801, friendlyName=打开知衣</x:v>
      </x:c>
      <x:c r="N899" s="25" t="e">
        <x:f>HYPERLINK("https://img.alicdn.com/bao/uploaded/i2/2201410379958/O1CN01sLt3EA2NQp4y3Fiyv_!!4611686018427379894-0-item_pic.jpg","查看主图")</x:f>
        <x:v>HYPERLINK is not implemented. linkLocation=https://img.alicdn.com/bao/uploaded/i2/2201410379958/O1CN01sLt3EA2NQp4y3Fiyv_!!4611686018427379894-0-item_pic.jpg, friendlyName=查看主图</x:v>
      </x:c>
      <x:c r="O899" s="9" t="str">
        <x:v>标题及既有类目语义复核；VGRASS定位印花A字伞摆半裙；原类目及标题已能确认半身裙；展示使用已知大类，未知裙长下沉到结构字段，不强猜长短。</x:v>
      </x:c>
      <x:c r="P899" s="9" t="str">
        <x:v>普通男女装</x:v>
      </x:c>
      <x:c r="Q899" s="9" t="str">
        <x:v>W_SKIRTS_AVGPAID_1700_1800_ANNUAL2026.xlsx</x:v>
      </x:c>
      <x:c r="R899" s="9" t="str">
        <x:v>默认</x:v>
      </x:c>
      <x:c r="S899" s="9" t="n">
        <x:v>119</x:v>
      </x:c>
      <x:c r="T899" s="9" t="str">
        <x:v>c25ed77c53c7c5cfcf728778a0e9b297d8689503f62756a939cbd534ca9b587a</x:v>
      </x:c>
      <x:c r="U899" s="9" t="str">
        <x:v>W_SKIRTS_AVGPAID_1700_1800_ANNUAL2026</x:v>
      </x:c>
      <x:c r="V899" s="9" t="str">
        <x:v>W_SKIRTS_AVGPAID_1700_1800_ANNUAL2026.xlsx / 默认 / 第119行 / SHA256 c25ed77c53c7c5cfcf728778a0e9b297d8689503f62756a939cbd534ca9b587a</x:v>
      </x:c>
    </x:row>
    <x:row r="900" ht="58" customHeight="1">
      <x:c r="A900" s="23" t="str">
        <x:v>915132161651</x:v>
      </x:c>
      <x:c r="B900" s="22"/>
      <x:c r="C900" s="22"/>
      <x:c r="D900" s="22"/>
      <x:c r="E900" s="9" t="str">
        <x:v>裙长未明确</x:v>
      </x:c>
      <x:c r="F900" s="9" t="str">
        <x:v>裙装</x:v>
      </x:c>
      <x:c r="G900" s="9" t="str">
        <x:v>半身裙</x:v>
      </x:c>
      <x:c r="H900" s="9" t="str">
        <x:v>女</x:v>
      </x:c>
      <x:c r="I900" s="9" t="str">
        <x:v>VGRASS日本进口三醋酯立体伞裙</x:v>
      </x:c>
      <x:c r="J900" s="9" t="str">
        <x:v>VGRASS</x:v>
      </x:c>
      <x:c r="K900" s="24" t="n">
        <x:v>1341.6</x:v>
      </x:c>
      <x:c r="L900" s="25" t="e">
        <x:f>HYPERLINK("https://item.taobao.com/item.htm?id=915132161651","打开商品")</x:f>
        <x:v>HYPERLINK is not implemented. linkLocation=https://item.taobao.com/item.htm?id=915132161651, friendlyName=打开商品</x:v>
      </x:c>
      <x:c r="M900" s="25" t="e">
        <x:f>HYPERLINK("https://data.zhiyitech.cn/itemDetail/overview/base?itemId=915132161651","打开知衣")</x:f>
        <x:v>HYPERLINK is not implemented. linkLocation=https://data.zhiyitech.cn/itemDetail/overview/base?itemId=915132161651, friendlyName=打开知衣</x:v>
      </x:c>
      <x:c r="N900" s="25" t="e">
        <x:f>HYPERLINK("https://img.alicdn.com/bao/uploaded/i1/2201410379958/O1CN015OZJnL2NQp4wA2vvG_!!4611686018427379894-0-item_pic.jpg","查看主图")</x:f>
        <x:v>HYPERLINK is not implemented. linkLocation=https://img.alicdn.com/bao/uploaded/i1/2201410379958/O1CN015OZJnL2NQp4wA2vvG_!!4611686018427379894-0-item_pic.jpg, friendlyName=查看主图</x:v>
      </x:c>
      <x:c r="O900" s="9" t="str">
        <x:v>标题及既有类目语义复核；VGRASS日本进口三醋酯立体伞裙；原类目及标题已能确认半身裙；展示使用已知大类，未知裙长下沉到结构字段，不强猜长短。</x:v>
      </x:c>
      <x:c r="P900" s="9" t="str">
        <x:v>普通男女装</x:v>
      </x:c>
      <x:c r="Q900" s="9" t="str">
        <x:v>W_SKIRTS_AVGPAID_1300_1400_ANNUAL2026.xlsx</x:v>
      </x:c>
      <x:c r="R900" s="9" t="str">
        <x:v>默认</x:v>
      </x:c>
      <x:c r="S900" s="9" t="n">
        <x:v>260</x:v>
      </x:c>
      <x:c r="T900" s="9" t="str">
        <x:v>bd4dae1e08e9eca7ddd0669235bf59107cdc418b9c2898fc16f36a7ab5748692</x:v>
      </x:c>
      <x:c r="U900" s="9" t="str">
        <x:v>W_SKIRTS_AVGPAID_1300_1400_ANNUAL2026</x:v>
      </x:c>
      <x:c r="V900" s="9" t="str">
        <x:v>W_SKIRTS_AVGPAID_1300_1400_ANNUAL2026.xlsx / 默认 / 第260行 / SHA256 bd4dae1e08e9eca7ddd0669235bf59107cdc418b9c2898fc16f36a7ab5748692</x:v>
      </x:c>
    </x:row>
    <x:row r="901" ht="58" customHeight="1">
      <x:c r="A901" s="23" t="str">
        <x:v>916648647887</x:v>
      </x:c>
      <x:c r="B901" s="22"/>
      <x:c r="C901" s="22"/>
      <x:c r="D901" s="22"/>
      <x:c r="E901" s="9" t="str">
        <x:v>裙长未明确</x:v>
      </x:c>
      <x:c r="F901" s="9" t="str">
        <x:v>裙装</x:v>
      </x:c>
      <x:c r="G901" s="9" t="str">
        <x:v>半身裙</x:v>
      </x:c>
      <x:c r="H901" s="9" t="str">
        <x:v>女</x:v>
      </x:c>
      <x:c r="I901" s="9" t="str">
        <x:v>VGRASS维格娜丝夏季新款立体插片A字印花百褶女士精致网纱半裙</x:v>
      </x:c>
      <x:c r="J901" s="9" t="str">
        <x:v>VGRASS</x:v>
      </x:c>
      <x:c r="K901" s="24" t="n">
        <x:v>1524.8</x:v>
      </x:c>
      <x:c r="L901" s="25" t="e">
        <x:f>HYPERLINK("https://item.taobao.com/item.htm?id=916648647887","打开商品")</x:f>
        <x:v>HYPERLINK is not implemented. linkLocation=https://item.taobao.com/item.htm?id=916648647887, friendlyName=打开商品</x:v>
      </x:c>
      <x:c r="M901" s="25" t="e">
        <x:f>HYPERLINK("https://data.zhiyitech.cn/itemDetail/overview/base?itemId=916648647887","打开知衣")</x:f>
        <x:v>HYPERLINK is not implemented. linkLocation=https://data.zhiyitech.cn/itemDetail/overview/base?itemId=916648647887, friendlyName=打开知衣</x:v>
      </x:c>
      <x:c r="N901" s="25" t="e">
        <x:f>HYPERLINK("https://img.alicdn.com/bao/uploaded/i4/2201410379958/O1CN01rqrFQE2NQp4r2Sf0Z_!!4611686018427379894-0-item_pic.jpg","查看主图")</x:f>
        <x:v>HYPERLINK is not implemented. linkLocation=https://img.alicdn.com/bao/uploaded/i4/2201410379958/O1CN01rqrFQE2NQp4r2Sf0Z_!!4611686018427379894-0-item_pic.jpg, friendlyName=查看主图</x:v>
      </x:c>
      <x:c r="O901" s="9" t="str">
        <x:v>标题及既有类目语义复核；VGRASS维格娜丝夏季新款立体插片A字印花百褶女士精致网纱半裙；原类目及标题已能确认半身裙；展示使用已知大类，未知裙长下沉到结构字段，不强猜长短。</x:v>
      </x:c>
      <x:c r="P901" s="9" t="str">
        <x:v>普通男女装</x:v>
      </x:c>
      <x:c r="Q901" s="9" t="str">
        <x:v>W_SKIRTS_AVGPAID_1500_1600_ANNUAL2026.xlsx</x:v>
      </x:c>
      <x:c r="R901" s="9" t="str">
        <x:v>默认</x:v>
      </x:c>
      <x:c r="S901" s="9" t="n">
        <x:v>429</x:v>
      </x:c>
      <x:c r="T901" s="9" t="str">
        <x:v>deede8b56943df4f914be45dba170f12e69064023d6ef0e88dbde1764f6ba23e</x:v>
      </x:c>
      <x:c r="U901" s="9" t="str">
        <x:v>W_SKIRTS_AVGPAID_1500_1600_ANNUAL2026</x:v>
      </x:c>
      <x:c r="V901" s="9" t="str">
        <x:v>W_SKIRTS_AVGPAID_1500_1600_ANNUAL2026.xlsx / 默认 / 第429行 / SHA256 deede8b56943df4f914be45dba170f12e69064023d6ef0e88dbde1764f6ba23e</x:v>
      </x:c>
    </x:row>
    <x:row r="902" ht="58" customHeight="1">
      <x:c r="A902" s="23" t="str">
        <x:v>917511789886</x:v>
      </x:c>
      <x:c r="B902" s="22"/>
      <x:c r="C902" s="22"/>
      <x:c r="D902" s="22"/>
      <x:c r="E902" s="9" t="str">
        <x:v>裙长未明确</x:v>
      </x:c>
      <x:c r="F902" s="9" t="str">
        <x:v>裙装</x:v>
      </x:c>
      <x:c r="G902" s="9" t="str">
        <x:v>半身裙</x:v>
      </x:c>
      <x:c r="H902" s="9" t="str">
        <x:v>女</x:v>
      </x:c>
      <x:c r="I902" s="9" t="str">
        <x:v>*VGRASS维格娜丝夏季亚麻棉混纺定位印花蕾丝花边精致感小A蓬蓬裙</x:v>
      </x:c>
      <x:c r="J902" s="9" t="str">
        <x:v>VGRASS</x:v>
      </x:c>
      <x:c r="K902" s="24" t="n">
        <x:v>1352.44</x:v>
      </x:c>
      <x:c r="L902" s="25" t="e">
        <x:f>HYPERLINK("https://item.taobao.com/item.htm?id=917511789886","打开商品")</x:f>
        <x:v>HYPERLINK is not implemented. linkLocation=https://item.taobao.com/item.htm?id=917511789886, friendlyName=打开商品</x:v>
      </x:c>
      <x:c r="M902" s="25" t="e">
        <x:f>HYPERLINK("https://data.zhiyitech.cn/itemDetail/overview/base?itemId=917511789886","打开知衣")</x:f>
        <x:v>HYPERLINK is not implemented. linkLocation=https://data.zhiyitech.cn/itemDetail/overview/base?itemId=917511789886, friendlyName=打开知衣</x:v>
      </x:c>
      <x:c r="N902" s="25" t="e">
        <x:f>HYPERLINK("https://img.alicdn.com/bao/uploaded/i4/2201410379958/O1CN01gk60hW2NQp53stREx_!!4611686018427379894-0-item_pic.jpg","查看主图")</x:f>
        <x:v>HYPERLINK is not implemented. linkLocation=https://img.alicdn.com/bao/uploaded/i4/2201410379958/O1CN01gk60hW2NQp53stREx_!!4611686018427379894-0-item_pic.jpg, friendlyName=查看主图</x:v>
      </x:c>
      <x:c r="O902" s="9" t="str">
        <x:v>标题及既有类目语义复核；*VGRASS维格娜丝夏季亚麻棉混纺定位印花蕾丝花边精致感小A蓬蓬裙；原类目及标题已能确认半身裙；展示使用已知大类，未知裙长下沉到结构字段，不强猜长短。</x:v>
      </x:c>
      <x:c r="P902" s="9" t="str">
        <x:v>普通男女装</x:v>
      </x:c>
      <x:c r="Q902" s="9" t="str">
        <x:v>W_SKIRTS_AVGPAID_1300_1400_ANNUAL2026.xlsx</x:v>
      </x:c>
      <x:c r="R902" s="9" t="str">
        <x:v>默认</x:v>
      </x:c>
      <x:c r="S902" s="9" t="n">
        <x:v>335</x:v>
      </x:c>
      <x:c r="T902" s="9" t="str">
        <x:v>bd4dae1e08e9eca7ddd0669235bf59107cdc418b9c2898fc16f36a7ab5748692</x:v>
      </x:c>
      <x:c r="U902" s="9" t="str">
        <x:v>W_SKIRTS_AVGPAID_1300_1400_ANNUAL2026</x:v>
      </x:c>
      <x:c r="V902" s="9" t="str">
        <x:v>W_SKIRTS_AVGPAID_1300_1400_ANNUAL2026.xlsx / 默认 / 第335行 / SHA256 bd4dae1e08e9eca7ddd0669235bf59107cdc418b9c2898fc16f36a7ab5748692</x:v>
      </x:c>
    </x:row>
    <x:row r="903" ht="58" customHeight="1">
      <x:c r="A903" s="23" t="str">
        <x:v>945595605686</x:v>
      </x:c>
      <x:c r="B903" s="22"/>
      <x:c r="C903" s="22"/>
      <x:c r="D903" s="22"/>
      <x:c r="E903" s="9" t="str">
        <x:v>裙长未明确</x:v>
      </x:c>
      <x:c r="F903" s="9" t="str">
        <x:v>裙装</x:v>
      </x:c>
      <x:c r="G903" s="9" t="str">
        <x:v>半身裙</x:v>
      </x:c>
      <x:c r="H903" s="9" t="str">
        <x:v>女</x:v>
      </x:c>
      <x:c r="I903" s="9" t="str">
        <x:v>VGRASS泡泡纱立体裁片A型半裙</x:v>
      </x:c>
      <x:c r="J903" s="9" t="str">
        <x:v>VGRASS</x:v>
      </x:c>
      <x:c r="K903" s="24" t="n">
        <x:v>1733.18</x:v>
      </x:c>
      <x:c r="L903" s="25" t="e">
        <x:f>HYPERLINK("https://item.taobao.com/item.htm?id=945595605686","打开商品")</x:f>
        <x:v>HYPERLINK is not implemented. linkLocation=https://item.taobao.com/item.htm?id=945595605686, friendlyName=打开商品</x:v>
      </x:c>
      <x:c r="M903" s="25" t="e">
        <x:f>HYPERLINK("https://data.zhiyitech.cn/itemDetail/overview/base?itemId=945595605686","打开知衣")</x:f>
        <x:v>HYPERLINK is not implemented. linkLocation=https://data.zhiyitech.cn/itemDetail/overview/base?itemId=945595605686, friendlyName=打开知衣</x:v>
      </x:c>
      <x:c r="N903" s="25" t="e">
        <x:f>HYPERLINK("https://img.alicdn.com/bao/uploaded/i4/2201410379958/O1CN01ylTpT12NQp5iUaev3_!!4611686018427379894-0-item_pic.jpg","查看主图")</x:f>
        <x:v>HYPERLINK is not implemented. linkLocation=https://img.alicdn.com/bao/uploaded/i4/2201410379958/O1CN01ylTpT12NQp5iUaev3_!!4611686018427379894-0-item_pic.jpg, friendlyName=查看主图</x:v>
      </x:c>
      <x:c r="O903" s="9" t="str">
        <x:v>标题及既有类目语义复核；VGRASS泡泡纱立体裁片A型半裙；原类目及标题已能确认半身裙；展示使用已知大类，未知裙长下沉到结构字段，不强猜长短。</x:v>
      </x:c>
      <x:c r="P903" s="9" t="str">
        <x:v>普通男女装</x:v>
      </x:c>
      <x:c r="Q903" s="9" t="str">
        <x:v>W_SKIRTS_AVGPAID_1700_1800_ANNUAL2026.xlsx</x:v>
      </x:c>
      <x:c r="R903" s="9" t="str">
        <x:v>默认</x:v>
      </x:c>
      <x:c r="S903" s="9" t="n">
        <x:v>217</x:v>
      </x:c>
      <x:c r="T903" s="9" t="str">
        <x:v>c25ed77c53c7c5cfcf728778a0e9b297d8689503f62756a939cbd534ca9b587a</x:v>
      </x:c>
      <x:c r="U903" s="9" t="str">
        <x:v>W_SKIRTS_AVGPAID_1700_1800_ANNUAL2026</x:v>
      </x:c>
      <x:c r="V903" s="9" t="str">
        <x:v>W_SKIRTS_AVGPAID_1700_1800_ANNUAL2026.xlsx / 默认 / 第217行 / SHA256 c25ed77c53c7c5cfcf728778a0e9b297d8689503f62756a939cbd534ca9b587a</x:v>
      </x:c>
    </x:row>
    <x:row r="904" ht="58" customHeight="1">
      <x:c r="A904" s="23" t="str">
        <x:v>950541136412</x:v>
      </x:c>
      <x:c r="B904" s="22"/>
      <x:c r="C904" s="22"/>
      <x:c r="D904" s="22"/>
      <x:c r="E904" s="9" t="str">
        <x:v>裙长未明确</x:v>
      </x:c>
      <x:c r="F904" s="9" t="str">
        <x:v>裙装</x:v>
      </x:c>
      <x:c r="G904" s="9" t="str">
        <x:v>半身裙</x:v>
      </x:c>
      <x:c r="H904" s="9" t="str">
        <x:v>女</x:v>
      </x:c>
      <x:c r="I904" s="9" t="str">
        <x:v>VGRASS维格娜丝秋季百搭黑色丝羊毛优雅轻盈碎褶A字显腿长半裙女</x:v>
      </x:c>
      <x:c r="J904" s="9" t="str">
        <x:v>VGRASS</x:v>
      </x:c>
      <x:c r="K904" s="24" t="n">
        <x:v>1787.7</x:v>
      </x:c>
      <x:c r="L904" s="25" t="e">
        <x:f>HYPERLINK("https://item.taobao.com/item.htm?id=950541136412","打开商品")</x:f>
        <x:v>HYPERLINK is not implemented. linkLocation=https://item.taobao.com/item.htm?id=950541136412, friendlyName=打开商品</x:v>
      </x:c>
      <x:c r="M904" s="25" t="e">
        <x:f>HYPERLINK("https://data.zhiyitech.cn/itemDetail/overview/base?itemId=950541136412","打开知衣")</x:f>
        <x:v>HYPERLINK is not implemented. linkLocation=https://data.zhiyitech.cn/itemDetail/overview/base?itemId=950541136412, friendlyName=打开知衣</x:v>
      </x:c>
      <x:c r="N904" s="25" t="e">
        <x:f>HYPERLINK("https://img.alicdn.com/i4/2201410379958/O1CN01zhyubP2NQp5ulGsT7_!!4611686018427379894-0-item_pic.jpg","查看主图")</x:f>
        <x:v>HYPERLINK is not implemented. linkLocation=https://img.alicdn.com/i4/2201410379958/O1CN01zhyubP2NQp5ulGsT7_!!4611686018427379894-0-item_pic.jpg, friendlyName=查看主图</x:v>
      </x:c>
      <x:c r="O904" s="9" t="str">
        <x:v>标题及既有类目语义复核；VGRASS维格娜丝秋季百搭黑色丝羊毛优雅轻盈碎褶A字显腿长半裙女；原类目及标题已能确认半身裙；展示使用已知大类，未知裙长下沉到结构字段，不强猜长短。</x:v>
      </x:c>
      <x:c r="P904" s="9" t="str">
        <x:v>普通男女装</x:v>
      </x:c>
      <x:c r="Q904" s="9" t="str">
        <x:v>W_SKIRTS_AVGPAID_1700_1800_ANNUAL2026.xlsx</x:v>
      </x:c>
      <x:c r="R904" s="9" t="str">
        <x:v>默认</x:v>
      </x:c>
      <x:c r="S904" s="9" t="n">
        <x:v>455</x:v>
      </x:c>
      <x:c r="T904" s="9" t="str">
        <x:v>c25ed77c53c7c5cfcf728778a0e9b297d8689503f62756a939cbd534ca9b587a</x:v>
      </x:c>
      <x:c r="U904" s="9" t="str">
        <x:v>W_SKIRTS_AVGPAID_1700_1800_ANNUAL2026</x:v>
      </x:c>
      <x:c r="V904" s="9" t="str">
        <x:v>W_SKIRTS_AVGPAID_1700_1800_ANNUAL2026.xlsx / 默认 / 第455行 / SHA256 c25ed77c53c7c5cfcf728778a0e9b297d8689503f62756a939cbd534ca9b587a</x:v>
      </x:c>
    </x:row>
    <x:row r="905" ht="58" customHeight="1">
      <x:c r="A905" s="23" t="str">
        <x:v>956699218219</x:v>
      </x:c>
      <x:c r="B905" s="22"/>
      <x:c r="C905" s="22"/>
      <x:c r="D905" s="22"/>
      <x:c r="E905" s="9" t="str">
        <x:v>裙长未明确</x:v>
      </x:c>
      <x:c r="F905" s="9" t="str">
        <x:v>裙装</x:v>
      </x:c>
      <x:c r="G905" s="9" t="str">
        <x:v>半身裙</x:v>
      </x:c>
      <x:c r="H905" s="9" t="str">
        <x:v>女</x:v>
      </x:c>
      <x:c r="I905" s="9" t="str">
        <x:v>VGRASS秋冬新款精纺羊毛混纺重工压褶a字半身裙肌理垂挺百褶裙</x:v>
      </x:c>
      <x:c r="J905" s="9" t="str">
        <x:v>VGRASS</x:v>
      </x:c>
      <x:c r="K905" s="24" t="n">
        <x:v>1357.15</x:v>
      </x:c>
      <x:c r="L905" s="25" t="e">
        <x:f>HYPERLINK("https://item.taobao.com/item.htm?id=956699218219","打开商品")</x:f>
        <x:v>HYPERLINK is not implemented. linkLocation=https://item.taobao.com/item.htm?id=956699218219, friendlyName=打开商品</x:v>
      </x:c>
      <x:c r="M905" s="25" t="e">
        <x:f>HYPERLINK("https://data.zhiyitech.cn/itemDetail/overview/base?itemId=956699218219","打开知衣")</x:f>
        <x:v>HYPERLINK is not implemented. linkLocation=https://data.zhiyitech.cn/itemDetail/overview/base?itemId=956699218219, friendlyName=打开知衣</x:v>
      </x:c>
      <x:c r="N905" s="25" t="e">
        <x:f>HYPERLINK("https://img.alicdn.com/bao/uploaded/i4/2201410379958/O1CN015WqqKU2NQp78q3xyc_!!4611686018427379894-0-item_pic.jpg","查看主图")</x:f>
        <x:v>HYPERLINK is not implemented. linkLocation=https://img.alicdn.com/bao/uploaded/i4/2201410379958/O1CN015WqqKU2NQp78q3xyc_!!4611686018427379894-0-item_pic.jpg, friendlyName=查看主图</x:v>
      </x:c>
      <x:c r="O905" s="9" t="str">
        <x:v>标题及既有类目语义复核；VGRASS秋冬新款精纺羊毛混纺重工压褶a字半身裙肌理垂挺百褶裙；原类目及标题已能确认半身裙；展示使用已知大类，未知裙长下沉到结构字段，不强猜长短。</x:v>
      </x:c>
      <x:c r="P905" s="9" t="str">
        <x:v>普通男女装</x:v>
      </x:c>
      <x:c r="Q905" s="9" t="str">
        <x:v>W_SKIRTS_AVGPAID_1300_1400_ANNUAL2026.xlsx</x:v>
      </x:c>
      <x:c r="R905" s="9" t="str">
        <x:v>默认</x:v>
      </x:c>
      <x:c r="S905" s="9" t="n">
        <x:v>185</x:v>
      </x:c>
      <x:c r="T905" s="9" t="str">
        <x:v>bd4dae1e08e9eca7ddd0669235bf59107cdc418b9c2898fc16f36a7ab5748692</x:v>
      </x:c>
      <x:c r="U905" s="9" t="str">
        <x:v>W_SKIRTS_AVGPAID_1300_1400_ANNUAL2026</x:v>
      </x:c>
      <x:c r="V905" s="9" t="str">
        <x:v>W_SKIRTS_AVGPAID_1300_1400_ANNUAL2026.xlsx / 默认 / 第185行 / SHA256 bd4dae1e08e9eca7ddd0669235bf59107cdc418b9c2898fc16f36a7ab5748692</x:v>
      </x:c>
    </x:row>
    <x:row r="906" ht="58" customHeight="1">
      <x:c r="A906" s="23" t="str">
        <x:v>976725035137</x:v>
      </x:c>
      <x:c r="B906" s="22"/>
      <x:c r="C906" s="22"/>
      <x:c r="D906" s="22"/>
      <x:c r="E906" s="9" t="str">
        <x:v>裙长未明确</x:v>
      </x:c>
      <x:c r="F906" s="9" t="str">
        <x:v>裙装</x:v>
      </x:c>
      <x:c r="G906" s="9" t="str">
        <x:v>半身裙</x:v>
      </x:c>
      <x:c r="H906" s="9" t="str">
        <x:v>女</x:v>
      </x:c>
      <x:c r="I906" s="9" t="str">
        <x:v>VIKTORIACHAN25/26秋冬成衣系列新品 松紧腰A字垂感羊毛半身裙</x:v>
      </x:c>
      <x:c r="J906" s="9" t="str">
        <x:v>VIKTORIACHAN</x:v>
      </x:c>
      <x:c r="K906" s="24" t="n">
        <x:v>1537.59</x:v>
      </x:c>
      <x:c r="L906" s="25" t="e">
        <x:f>HYPERLINK("https://item.taobao.com/item.htm?id=976725035137","打开商品")</x:f>
        <x:v>HYPERLINK is not implemented. linkLocation=https://item.taobao.com/item.htm?id=976725035137, friendlyName=打开商品</x:v>
      </x:c>
      <x:c r="M906" s="25" t="e">
        <x:f>HYPERLINK("https://data.zhiyitech.cn/itemDetail/overview/base?itemId=976725035137","打开知衣")</x:f>
        <x:v>HYPERLINK is not implemented. linkLocation=https://data.zhiyitech.cn/itemDetail/overview/base?itemId=976725035137, friendlyName=打开知衣</x:v>
      </x:c>
      <x:c r="N906" s="25" t="e">
        <x:f>HYPERLINK("https://img.alicdn.com/bao/uploaded/i1/2212881807147/O1CN010nXTKL22fNlyzhGch_!!4611686018427385643-0-item_pic.jpg","查看主图")</x:f>
        <x:v>HYPERLINK is not implemented. linkLocation=https://img.alicdn.com/bao/uploaded/i1/2212881807147/O1CN010nXTKL22fNlyzhGch_!!4611686018427385643-0-item_pic.jpg, friendlyName=查看主图</x:v>
      </x:c>
      <x:c r="O906" s="9" t="str">
        <x:v>标题及既有类目语义复核；VIKTORIACHAN25/26秋冬成衣系列新品 松紧腰A字垂感羊毛半身裙；原类目及标题已能确认半身裙；展示使用已知大类，未知裙长下沉到结构字段，不强猜长短。</x:v>
      </x:c>
      <x:c r="P906" s="9" t="str">
        <x:v>普通男女装</x:v>
      </x:c>
      <x:c r="Q906" s="9" t="str">
        <x:v>W_SKIRTS_AVGPAID_1500_1600_ANNUAL2026.xlsx</x:v>
      </x:c>
      <x:c r="R906" s="9" t="str">
        <x:v>默认</x:v>
      </x:c>
      <x:c r="S906" s="9" t="n">
        <x:v>282</x:v>
      </x:c>
      <x:c r="T906" s="9" t="str">
        <x:v>deede8b56943df4f914be45dba170f12e69064023d6ef0e88dbde1764f6ba23e</x:v>
      </x:c>
      <x:c r="U906" s="9" t="str">
        <x:v>W_SKIRTS_AVGPAID_1500_1600_ANNUAL2026</x:v>
      </x:c>
      <x:c r="V906" s="9" t="str">
        <x:v>W_SKIRTS_AVGPAID_1500_1600_ANNUAL2026.xlsx / 默认 / 第282行 / SHA256 deede8b56943df4f914be45dba170f12e69064023d6ef0e88dbde1764f6ba23e</x:v>
      </x:c>
    </x:row>
    <x:row r="907" ht="58" customHeight="1">
      <x:c r="A907" s="23" t="str">
        <x:v>1008480176344</x:v>
      </x:c>
      <x:c r="B907" s="22"/>
      <x:c r="C907" s="22"/>
      <x:c r="D907" s="22"/>
      <x:c r="E907" s="9" t="str">
        <x:v>裙长未明确</x:v>
      </x:c>
      <x:c r="F907" s="9" t="str">
        <x:v>裙装</x:v>
      </x:c>
      <x:c r="G907" s="9" t="str">
        <x:v>半身裙</x:v>
      </x:c>
      <x:c r="H907" s="9" t="str">
        <x:v>女</x:v>
      </x:c>
      <x:c r="I907" s="9" t="str">
        <x:v>VIMAS现货 年终压轴~私服！油蜡皮+反绒皮 重工编织 格调女孩半裙</x:v>
      </x:c>
      <x:c r="J907" s="9" t="str">
        <x:v>VIMAS</x:v>
      </x:c>
      <x:c r="K907" s="24" t="n">
        <x:v>1527.18</x:v>
      </x:c>
      <x:c r="L907" s="25" t="e">
        <x:f>HYPERLINK("https://item.taobao.com/item.htm?id=1008480176344","打开商品")</x:f>
        <x:v>HYPERLINK is not implemented. linkLocation=https://item.taobao.com/item.htm?id=1008480176344, friendlyName=打开商品</x:v>
      </x:c>
      <x:c r="M907" s="25" t="e">
        <x:f>HYPERLINK("https://data.zhiyitech.cn/itemDetail/overview/base?itemId=1008480176344","打开知衣")</x:f>
        <x:v>HYPERLINK is not implemented. linkLocation=https://data.zhiyitech.cn/itemDetail/overview/base?itemId=1008480176344, friendlyName=打开知衣</x:v>
      </x:c>
      <x:c r="N907" s="25" t="e">
        <x:f>HYPERLINK("https://img.alicdn.com/bao/uploaded/i3/2584917131/O1CN01ROb8VZ22Y3SZKREX3_!!2584917131.jpg","查看主图")</x:f>
        <x:v>HYPERLINK is not implemented. linkLocation=https://img.alicdn.com/bao/uploaded/i3/2584917131/O1CN01ROb8VZ22Y3SZKREX3_!!2584917131.jpg, friendlyName=查看主图</x:v>
      </x:c>
      <x:c r="O907" s="9" t="str">
        <x:v>标题及既有类目语义复核；VIMAS现货 年终压轴~私服！油蜡皮+反绒皮 重工编织 格调女孩半裙；原类目及标题已能确认半身裙；展示使用已知大类，未知裙长下沉到结构字段，不强猜长短。</x:v>
      </x:c>
      <x:c r="P907" s="9" t="str">
        <x:v>普通男女装</x:v>
      </x:c>
      <x:c r="Q907" s="9" t="str">
        <x:v>W_SKIRTS_AVGPAID_1500_1600_ANNUAL2026.xlsx</x:v>
      </x:c>
      <x:c r="R907" s="9" t="str">
        <x:v>默认</x:v>
      </x:c>
      <x:c r="S907" s="9" t="n">
        <x:v>113</x:v>
      </x:c>
      <x:c r="T907" s="9" t="str">
        <x:v>deede8b56943df4f914be45dba170f12e69064023d6ef0e88dbde1764f6ba23e</x:v>
      </x:c>
      <x:c r="U907" s="9" t="str">
        <x:v>W_SKIRTS_AVGPAID_1500_1600_ANNUAL2026</x:v>
      </x:c>
      <x:c r="V907" s="9" t="str">
        <x:v>W_SKIRTS_AVGPAID_1500_1600_ANNUAL2026.xlsx / 默认 / 第113行 / SHA256 deede8b56943df4f914be45dba170f12e69064023d6ef0e88dbde1764f6ba23e</x:v>
      </x:c>
    </x:row>
    <x:row r="908" ht="58" customHeight="1">
      <x:c r="A908" s="23" t="str">
        <x:v>1016963691966</x:v>
      </x:c>
      <x:c r="B908" s="22"/>
      <x:c r="C908" s="22"/>
      <x:c r="D908" s="22"/>
      <x:c r="E908" s="9" t="str">
        <x:v>裙长未明确</x:v>
      </x:c>
      <x:c r="F908" s="9" t="str">
        <x:v>裙装</x:v>
      </x:c>
      <x:c r="G908" s="9" t="str">
        <x:v>半身裙</x:v>
      </x:c>
      <x:c r="H908" s="9" t="str">
        <x:v>女</x:v>
      </x:c>
      <x:c r="I908" s="9" t="str">
        <x:v>VVNK JANE PLUS2026春季新款格纹A字半身裙女J610766013B</x:v>
      </x:c>
      <x:c r="J908" s="9" t="str">
        <x:v>VVNK JANE PLUS</x:v>
      </x:c>
      <x:c r="K908" s="24" t="n">
        <x:v>1756.3</x:v>
      </x:c>
      <x:c r="L908" s="25" t="e">
        <x:f>HYPERLINK("https://item.taobao.com/item.htm?id=1016963691966","打开商品")</x:f>
        <x:v>HYPERLINK is not implemented. linkLocation=https://item.taobao.com/item.htm?id=1016963691966, friendlyName=打开商品</x:v>
      </x:c>
      <x:c r="M908" s="25" t="e">
        <x:f>HYPERLINK("https://data.zhiyitech.cn/itemDetail/overview/base?itemId=1016963691966","打开知衣")</x:f>
        <x:v>HYPERLINK is not implemented. linkLocation=https://data.zhiyitech.cn/itemDetail/overview/base?itemId=1016963691966, friendlyName=打开知衣</x:v>
      </x:c>
      <x:c r="N908" s="25" t="e">
        <x:f>HYPERLINK("https://img.alicdn.com/bao/uploaded/i4/2201944186978/O1CN013a8WpyKOXDH2vH2e_!!2201944186978.jpg","查看主图")</x:f>
        <x:v>HYPERLINK is not implemented. linkLocation=https://img.alicdn.com/bao/uploaded/i4/2201944186978/O1CN013a8WpyKOXDH2vH2e_!!2201944186978.jpg, friendlyName=查看主图</x:v>
      </x:c>
      <x:c r="O908" s="9" t="str">
        <x:v>标题及既有类目语义复核；VVNK JANE PLUS2026春季新款格纹A字半身裙女J610766013B；原类目及标题已能确认半身裙；展示使用已知大类，未知裙长下沉到结构字段，不强猜长短。</x:v>
      </x:c>
      <x:c r="P908" s="9" t="str">
        <x:v>普通男女装</x:v>
      </x:c>
      <x:c r="Q908" s="9" t="str">
        <x:v>W_SKIRTS_AVGPAID_1700_1800_ANNUAL2026.xlsx</x:v>
      </x:c>
      <x:c r="R908" s="9" t="str">
        <x:v>默认</x:v>
      </x:c>
      <x:c r="S908" s="9" t="n">
        <x:v>485</x:v>
      </x:c>
      <x:c r="T908" s="9" t="str">
        <x:v>c25ed77c53c7c5cfcf728778a0e9b297d8689503f62756a939cbd534ca9b587a</x:v>
      </x:c>
      <x:c r="U908" s="9" t="str">
        <x:v>W_SKIRTS_AVGPAID_1700_1800_ANNUAL2026</x:v>
      </x:c>
      <x:c r="V908" s="9" t="str">
        <x:v>W_SKIRTS_AVGPAID_1700_1800_ANNUAL2026.xlsx / 默认 / 第485行 / SHA256 c25ed77c53c7c5cfcf728778a0e9b297d8689503f62756a939cbd534ca9b587a</x:v>
      </x:c>
    </x:row>
    <x:row r="909" ht="58" customHeight="1">
      <x:c r="A909" s="23" t="str">
        <x:v>766755033852</x:v>
      </x:c>
      <x:c r="B909" s="22"/>
      <x:c r="C909" s="22"/>
      <x:c r="D909" s="22"/>
      <x:c r="E909" s="9" t="str">
        <x:v>裙长未明确</x:v>
      </x:c>
      <x:c r="F909" s="9" t="str">
        <x:v>裙装</x:v>
      </x:c>
      <x:c r="G909" s="9" t="str">
        <x:v>半身裙</x:v>
      </x:c>
      <x:c r="H909" s="9" t="str">
        <x:v>女</x:v>
      </x:c>
      <x:c r="I909" s="9" t="str">
        <x:v>【甄选惠享】Weekend MaxMara 女装牛仔半身裙5101064206</x:v>
      </x:c>
      <x:c r="J909" s="9" t="str">
        <x:v>WEEKEND MAX MARA</x:v>
      </x:c>
      <x:c r="K909" s="24" t="n">
        <x:v>1792.4</x:v>
      </x:c>
      <x:c r="L909" s="25" t="e">
        <x:f>HYPERLINK("https://item.taobao.com/item.htm?id=766755033852","打开商品")</x:f>
        <x:v>HYPERLINK is not implemented. linkLocation=https://item.taobao.com/item.htm?id=766755033852, friendlyName=打开商品</x:v>
      </x:c>
      <x:c r="M909" s="25" t="e">
        <x:f>HYPERLINK("https://data.zhiyitech.cn/itemDetail/overview/base?itemId=766755033852","打开知衣")</x:f>
        <x:v>HYPERLINK is not implemented. linkLocation=https://data.zhiyitech.cn/itemDetail/overview/base?itemId=766755033852, friendlyName=打开知衣</x:v>
      </x:c>
      <x:c r="N909" s="25" t="e">
        <x:f>HYPERLINK("https://img.alicdn.com/bao/uploaded/i4/2214678213634/O1CN013BREIq1ciQSPOq1uX-2214678213634.jpg","查看主图")</x:f>
        <x:v>HYPERLINK is not implemented. linkLocation=https://img.alicdn.com/bao/uploaded/i4/2214678213634/O1CN013BREIq1ciQSPOq1uX-2214678213634.jpg, friendlyName=查看主图</x:v>
      </x:c>
      <x:c r="O909" s="9" t="str">
        <x:v>标题及既有类目语义复核；【甄选惠享】Weekend MaxMara 女装牛仔半身裙5101064206；原类目及标题已能确认半身裙；展示使用已知大类，未知裙长下沉到结构字段，不强猜长短。</x:v>
      </x:c>
      <x:c r="P909" s="9" t="str">
        <x:v>普通男女装</x:v>
      </x:c>
      <x:c r="Q909" s="9" t="str">
        <x:v>W_SKIRTS_AVGPAID_1700_1800_ANNUAL2026.xlsx</x:v>
      </x:c>
      <x:c r="R909" s="9" t="str">
        <x:v>默认</x:v>
      </x:c>
      <x:c r="S909" s="9" t="n">
        <x:v>206</x:v>
      </x:c>
      <x:c r="T909" s="9" t="str">
        <x:v>c25ed77c53c7c5cfcf728778a0e9b297d8689503f62756a939cbd534ca9b587a</x:v>
      </x:c>
      <x:c r="U909" s="9" t="str">
        <x:v>W_SKIRTS_AVGPAID_1700_1800_ANNUAL2026</x:v>
      </x:c>
      <x:c r="V909" s="9" t="str">
        <x:v>W_SKIRTS_AVGPAID_1700_1800_ANNUAL2026.xlsx / 默认 / 第206行 / SHA256 c25ed77c53c7c5cfcf728778a0e9b297d8689503f62756a939cbd534ca9b587a</x:v>
      </x:c>
    </x:row>
    <x:row r="910" ht="58" customHeight="1">
      <x:c r="A910" s="23" t="str">
        <x:v>857616023839</x:v>
      </x:c>
      <x:c r="B910" s="22"/>
      <x:c r="C910" s="22"/>
      <x:c r="D910" s="22"/>
      <x:c r="E910" s="9" t="str">
        <x:v>裙长未明确</x:v>
      </x:c>
      <x:c r="F910" s="9" t="str">
        <x:v>裙装</x:v>
      </x:c>
      <x:c r="G910" s="9" t="str">
        <x:v>半身裙</x:v>
      </x:c>
      <x:c r="H910" s="9" t="str">
        <x:v>女</x:v>
      </x:c>
      <x:c r="I910" s="9" t="str">
        <x:v>【甄选惠享】Weekend MaxMara 女装针织半身裙5771025106</x:v>
      </x:c>
      <x:c r="J910" s="9" t="str">
        <x:v>WEEKEND MAX MARA</x:v>
      </x:c>
      <x:c r="K910" s="24" t="n">
        <x:v>1719.51</x:v>
      </x:c>
      <x:c r="L910" s="25" t="e">
        <x:f>HYPERLINK("https://item.taobao.com/item.htm?id=857616023839","打开商品")</x:f>
        <x:v>HYPERLINK is not implemented. linkLocation=https://item.taobao.com/item.htm?id=857616023839, friendlyName=打开商品</x:v>
      </x:c>
      <x:c r="M910" s="25" t="e">
        <x:f>HYPERLINK("https://data.zhiyitech.cn/itemDetail/overview/base?itemId=857616023839","打开知衣")</x:f>
        <x:v>HYPERLINK is not implemented. linkLocation=https://data.zhiyitech.cn/itemDetail/overview/base?itemId=857616023839, friendlyName=打开知衣</x:v>
      </x:c>
      <x:c r="N910" s="25" t="e">
        <x:f>HYPERLINK("https://img.alicdn.com/bao/uploaded/i3/2214678213634/O1CN01fT3Yzqg4rVF1chua-2214678213634.png","查看主图")</x:f>
        <x:v>HYPERLINK is not implemented. linkLocation=https://img.alicdn.com/bao/uploaded/i3/2214678213634/O1CN01fT3Yzqg4rVF1chua-2214678213634.png, friendlyName=查看主图</x:v>
      </x:c>
      <x:c r="O910" s="9" t="str">
        <x:v>标题及既有类目语义复核；【甄选惠享】Weekend MaxMara 女装针织半身裙5771025106；原类目及标题已能确认半身裙；展示使用已知大类，未知裙长下沉到结构字段，不强猜长短。</x:v>
      </x:c>
      <x:c r="P910" s="9" t="str">
        <x:v>普通男女装</x:v>
      </x:c>
      <x:c r="Q910" s="9" t="str">
        <x:v>W_SKIRTS_AVGPAID_1700_1800_ANNUAL2026.xlsx</x:v>
      </x:c>
      <x:c r="R910" s="9" t="str">
        <x:v>默认</x:v>
      </x:c>
      <x:c r="S910" s="9" t="n">
        <x:v>278</x:v>
      </x:c>
      <x:c r="T910" s="9" t="str">
        <x:v>c25ed77c53c7c5cfcf728778a0e9b297d8689503f62756a939cbd534ca9b587a</x:v>
      </x:c>
      <x:c r="U910" s="9" t="str">
        <x:v>W_SKIRTS_AVGPAID_1700_1800_ANNUAL2026</x:v>
      </x:c>
      <x:c r="V910" s="9" t="str">
        <x:v>W_SKIRTS_AVGPAID_1700_1800_ANNUAL2026.xlsx / 默认 / 第278行 / SHA256 c25ed77c53c7c5cfcf728778a0e9b297d8689503f62756a939cbd534ca9b587a</x:v>
      </x:c>
    </x:row>
    <x:row r="911" ht="58" customHeight="1">
      <x:c r="A911" s="23" t="str">
        <x:v>934834050388</x:v>
      </x:c>
      <x:c r="B911" s="22"/>
      <x:c r="C911" s="22"/>
      <x:c r="D911" s="22"/>
      <x:c r="E911" s="9" t="str">
        <x:v>裙长未明确</x:v>
      </x:c>
      <x:c r="F911" s="9" t="str">
        <x:v>裙装</x:v>
      </x:c>
      <x:c r="G911" s="9" t="str">
        <x:v>半身裙</x:v>
      </x:c>
      <x:c r="H911" s="9" t="str">
        <x:v>女</x:v>
      </x:c>
      <x:c r="I911" s="9" t="str">
        <x:v>【甄选惠享】Weekend MaxMara 女装针织半身裙5776015106</x:v>
      </x:c>
      <x:c r="J911" s="9" t="str">
        <x:v>WEEKEND MAX MARA</x:v>
      </x:c>
      <x:c r="K911" s="24" t="n">
        <x:v>1578.75</x:v>
      </x:c>
      <x:c r="L911" s="25" t="e">
        <x:f>HYPERLINK("https://item.taobao.com/item.htm?id=934834050388","打开商品")</x:f>
        <x:v>HYPERLINK is not implemented. linkLocation=https://item.taobao.com/item.htm?id=934834050388, friendlyName=打开商品</x:v>
      </x:c>
      <x:c r="M911" s="25" t="e">
        <x:f>HYPERLINK("https://data.zhiyitech.cn/itemDetail/overview/base?itemId=934834050388","打开知衣")</x:f>
        <x:v>HYPERLINK is not implemented. linkLocation=https://data.zhiyitech.cn/itemDetail/overview/base?itemId=934834050388, friendlyName=打开知衣</x:v>
      </x:c>
      <x:c r="N911" s="25" t="e">
        <x:f>HYPERLINK("https://img.alicdn.com/bao/uploaded/i3/2214678213634/O1CN01ZzO4ik1ciQS2v4uq4-2214678213634.png","查看主图")</x:f>
        <x:v>HYPERLINK is not implemented. linkLocation=https://img.alicdn.com/bao/uploaded/i3/2214678213634/O1CN01ZzO4ik1ciQS2v4uq4-2214678213634.png, friendlyName=查看主图</x:v>
      </x:c>
      <x:c r="O911" s="9" t="str">
        <x:v>标题及既有类目语义复核；【甄选惠享】Weekend MaxMara 女装针织半身裙5776015106；原类目及标题已能确认半身裙；展示使用已知大类，未知裙长下沉到结构字段，不强猜长短。</x:v>
      </x:c>
      <x:c r="P911" s="9" t="str">
        <x:v>普通男女装</x:v>
      </x:c>
      <x:c r="Q911" s="9" t="str">
        <x:v>W_SKIRTS_AVGPAID_1500_1600_ANNUAL2026.xlsx</x:v>
      </x:c>
      <x:c r="R911" s="9" t="str">
        <x:v>默认</x:v>
      </x:c>
      <x:c r="S911" s="9" t="n">
        <x:v>109</x:v>
      </x:c>
      <x:c r="T911" s="9" t="str">
        <x:v>deede8b56943df4f914be45dba170f12e69064023d6ef0e88dbde1764f6ba23e</x:v>
      </x:c>
      <x:c r="U911" s="9" t="str">
        <x:v>W_SKIRTS_AVGPAID_1500_1600_ANNUAL2026</x:v>
      </x:c>
      <x:c r="V911" s="9" t="str">
        <x:v>W_SKIRTS_AVGPAID_1500_1600_ANNUAL2026.xlsx / 默认 / 第109行 / SHA256 deede8b56943df4f914be45dba170f12e69064023d6ef0e88dbde1764f6ba23e</x:v>
      </x:c>
    </x:row>
    <x:row r="912" ht="58" customHeight="1">
      <x:c r="A912" s="23" t="str">
        <x:v>958656534219</x:v>
      </x:c>
      <x:c r="B912" s="22"/>
      <x:c r="C912" s="22"/>
      <x:c r="D912" s="22"/>
      <x:c r="E912" s="9" t="str">
        <x:v>裙长未明确</x:v>
      </x:c>
      <x:c r="F912" s="9" t="str">
        <x:v>裙装</x:v>
      </x:c>
      <x:c r="G912" s="9" t="str">
        <x:v>半身裙</x:v>
      </x:c>
      <x:c r="H912" s="9" t="str">
        <x:v>女</x:v>
      </x:c>
      <x:c r="I912" s="9" t="str">
        <x:v>【甄选惠享】Weekend MaxMara 女装羊毛针织半身裙5776035206</x:v>
      </x:c>
      <x:c r="J912" s="9" t="str">
        <x:v>WEEKEND MAX MARA</x:v>
      </x:c>
      <x:c r="K912" s="24" t="n">
        <x:v>1559.88</x:v>
      </x:c>
      <x:c r="L912" s="25" t="e">
        <x:f>HYPERLINK("https://item.taobao.com/item.htm?id=958656534219","打开商品")</x:f>
        <x:v>HYPERLINK is not implemented. linkLocation=https://item.taobao.com/item.htm?id=958656534219, friendlyName=打开商品</x:v>
      </x:c>
      <x:c r="M912" s="25" t="e">
        <x:f>HYPERLINK("https://data.zhiyitech.cn/itemDetail/overview/base?itemId=958656534219","打开知衣")</x:f>
        <x:v>HYPERLINK is not implemented. linkLocation=https://data.zhiyitech.cn/itemDetail/overview/base?itemId=958656534219, friendlyName=打开知衣</x:v>
      </x:c>
      <x:c r="N912" s="25" t="e">
        <x:f>HYPERLINK("https://img.alicdn.com/bao/uploaded/i1/2214678213634/O1CN01KK10Th1ciQRmJ0iCk-2214678213634.png","查看主图")</x:f>
        <x:v>HYPERLINK is not implemented. linkLocation=https://img.alicdn.com/bao/uploaded/i1/2214678213634/O1CN01KK10Th1ciQRmJ0iCk-2214678213634.png, friendlyName=查看主图</x:v>
      </x:c>
      <x:c r="O912" s="9" t="str">
        <x:v>标题及既有类目语义复核；【甄选惠享】Weekend MaxMara 女装羊毛针织半身裙5776035206；原类目及标题已能确认半身裙；展示使用已知大类，未知裙长下沉到结构字段，不强猜长短。</x:v>
      </x:c>
      <x:c r="P912" s="9" t="str">
        <x:v>普通男女装</x:v>
      </x:c>
      <x:c r="Q912" s="9" t="str">
        <x:v>W_SKIRTS_AVGPAID_1500_1600_ANNUAL2026.xlsx</x:v>
      </x:c>
      <x:c r="R912" s="9" t="str">
        <x:v>默认</x:v>
      </x:c>
      <x:c r="S912" s="9" t="n">
        <x:v>185</x:v>
      </x:c>
      <x:c r="T912" s="9" t="str">
        <x:v>deede8b56943df4f914be45dba170f12e69064023d6ef0e88dbde1764f6ba23e</x:v>
      </x:c>
      <x:c r="U912" s="9" t="str">
        <x:v>W_SKIRTS_AVGPAID_1500_1600_ANNUAL2026</x:v>
      </x:c>
      <x:c r="V912" s="9" t="str">
        <x:v>W_SKIRTS_AVGPAID_1500_1600_ANNUAL2026.xlsx / 默认 / 第185行 / SHA256 deede8b56943df4f914be45dba170f12e69064023d6ef0e88dbde1764f6ba23e</x:v>
      </x:c>
    </x:row>
    <x:row r="913" ht="58" customHeight="1">
      <x:c r="A913" s="23" t="str">
        <x:v>1056031784889</x:v>
      </x:c>
      <x:c r="B913" s="22"/>
      <x:c r="C913" s="22"/>
      <x:c r="D913" s="22"/>
      <x:c r="E913" s="9" t="str">
        <x:v>裙长未明确</x:v>
      </x:c>
      <x:c r="F913" s="9" t="str">
        <x:v>裙装</x:v>
      </x:c>
      <x:c r="G913" s="9" t="str">
        <x:v>半身裙</x:v>
      </x:c>
      <x:c r="H913" s="9" t="str">
        <x:v>女</x:v>
      </x:c>
      <x:c r="I913" s="9" t="str">
        <x:v>【2026年秋季新款】WHM女士日系休闲杂色罗纹针织布半裙A字裙</x:v>
      </x:c>
      <x:c r="J913" s="9" t="str">
        <x:v>WHM</x:v>
      </x:c>
      <x:c r="K913" s="24" t="n">
        <x:v>1702.47</x:v>
      </x:c>
      <x:c r="L913" s="25" t="e">
        <x:f>HYPERLINK("https://item.taobao.com/item.htm?id=1056031784889","打开商品")</x:f>
        <x:v>HYPERLINK is not implemented. linkLocation=https://item.taobao.com/item.htm?id=1056031784889, friendlyName=打开商品</x:v>
      </x:c>
      <x:c r="M913" s="25" t="e">
        <x:f>HYPERLINK("https://data.zhiyitech.cn/itemDetail/overview/base?itemId=1056031784889","打开知衣")</x:f>
        <x:v>HYPERLINK is not implemented. linkLocation=https://data.zhiyitech.cn/itemDetail/overview/base?itemId=1056031784889, friendlyName=打开知衣</x:v>
      </x:c>
      <x:c r="N913" s="25" t="e">
        <x:f>HYPERLINK("https://img.alicdn.com/bao/uploaded/i4/2217821540901/O1CN01RiVdh51IWhzx9L7QV_!!4611686018427384357-0-item_pic.jpg","查看主图")</x:f>
        <x:v>HYPERLINK is not implemented. linkLocation=https://img.alicdn.com/bao/uploaded/i4/2217821540901/O1CN01RiVdh51IWhzx9L7QV_!!4611686018427384357-0-item_pic.jpg, friendlyName=查看主图</x:v>
      </x:c>
      <x:c r="O913" s="9" t="str">
        <x:v>标题及既有类目语义复核；【2026年秋季新款】WHM女士日系休闲杂色罗纹针织布半裙A字裙；原类目及标题已能确认半身裙；展示使用已知大类，未知裙长下沉到结构字段，不强猜长短。</x:v>
      </x:c>
      <x:c r="P913" s="9" t="str">
        <x:v>普通男女装</x:v>
      </x:c>
      <x:c r="Q913" s="9" t="str">
        <x:v>W_SKIRTS_AVGPAID_1700_1800_ANNUAL2026.xlsx</x:v>
      </x:c>
      <x:c r="R913" s="9" t="str">
        <x:v>默认</x:v>
      </x:c>
      <x:c r="S913" s="9" t="n">
        <x:v>147</x:v>
      </x:c>
      <x:c r="T913" s="9" t="str">
        <x:v>c25ed77c53c7c5cfcf728778a0e9b297d8689503f62756a939cbd534ca9b587a</x:v>
      </x:c>
      <x:c r="U913" s="9" t="str">
        <x:v>W_SKIRTS_AVGPAID_1700_1800_ANNUAL2026</x:v>
      </x:c>
      <x:c r="V913" s="9" t="str">
        <x:v>W_SKIRTS_AVGPAID_1700_1800_ANNUAL2026.xlsx / 默认 / 第147行 / SHA256 c25ed77c53c7c5cfcf728778a0e9b297d8689503f62756a939cbd534ca9b587a</x:v>
      </x:c>
    </x:row>
    <x:row r="914" ht="58" customHeight="1">
      <x:c r="A914" s="23" t="str">
        <x:v>945220424178</x:v>
      </x:c>
      <x:c r="B914" s="22"/>
      <x:c r="C914" s="22"/>
      <x:c r="D914" s="22"/>
      <x:c r="E914" s="9" t="str">
        <x:v>裙长未明确</x:v>
      </x:c>
      <x:c r="F914" s="9" t="str">
        <x:v>裙装</x:v>
      </x:c>
      <x:c r="G914" s="9" t="str">
        <x:v>半身裙</x:v>
      </x:c>
      <x:c r="H914" s="9" t="str">
        <x:v>女</x:v>
      </x:c>
      <x:c r="I914" s="9" t="str">
        <x:v>WHM秋季女士休闲纯色宽松抽绳纹理尼龙布褶裥半裙</x:v>
      </x:c>
      <x:c r="J914" s="9" t="str">
        <x:v>WHM</x:v>
      </x:c>
      <x:c r="K914" s="24" t="n">
        <x:v>1399.95</x:v>
      </x:c>
      <x:c r="L914" s="25" t="e">
        <x:f>HYPERLINK("https://item.taobao.com/item.htm?id=945220424178","打开商品")</x:f>
        <x:v>HYPERLINK is not implemented. linkLocation=https://item.taobao.com/item.htm?id=945220424178, friendlyName=打开商品</x:v>
      </x:c>
      <x:c r="M914" s="25" t="e">
        <x:f>HYPERLINK("https://data.zhiyitech.cn/itemDetail/overview/base?itemId=945220424178","打开知衣")</x:f>
        <x:v>HYPERLINK is not implemented. linkLocation=https://data.zhiyitech.cn/itemDetail/overview/base?itemId=945220424178, friendlyName=打开知衣</x:v>
      </x:c>
      <x:c r="N914" s="25" t="e">
        <x:f>HYPERLINK("https://img.alicdn.com/bao/uploaded/i3/2217821540901/O1CN01BC8oe01IWhvOAX0UP_!!4611686018427384357-0-item_pic.jpg","查看主图")</x:f>
        <x:v>HYPERLINK is not implemented. linkLocation=https://img.alicdn.com/bao/uploaded/i3/2217821540901/O1CN01BC8oe01IWhvOAX0UP_!!4611686018427384357-0-item_pic.jpg, friendlyName=查看主图</x:v>
      </x:c>
      <x:c r="O914" s="9" t="str">
        <x:v>标题及既有类目语义复核；WHM秋季女士休闲纯色宽松抽绳纹理尼龙布褶裥半裙；原类目及标题已能确认半身裙；展示使用已知大类，未知裙长下沉到结构字段，不强猜长短。</x:v>
      </x:c>
      <x:c r="P914" s="9" t="str">
        <x:v>普通男女装</x:v>
      </x:c>
      <x:c r="Q914" s="9" t="str">
        <x:v>W_SKIRTS_AVGPAID_1300_1400_ANNUAL2026.xlsx</x:v>
      </x:c>
      <x:c r="R914" s="9" t="str">
        <x:v>默认</x:v>
      </x:c>
      <x:c r="S914" s="9" t="n">
        <x:v>285</x:v>
      </x:c>
      <x:c r="T914" s="9" t="str">
        <x:v>bd4dae1e08e9eca7ddd0669235bf59107cdc418b9c2898fc16f36a7ab5748692</x:v>
      </x:c>
      <x:c r="U914" s="9" t="str">
        <x:v>W_SKIRTS_AVGPAID_1300_1400_ANNUAL2026</x:v>
      </x:c>
      <x:c r="V914" s="9" t="str">
        <x:v>W_SKIRTS_AVGPAID_1300_1400_ANNUAL2026.xlsx / 默认 / 第285行 / SHA256 bd4dae1e08e9eca7ddd0669235bf59107cdc418b9c2898fc16f36a7ab5748692</x:v>
      </x:c>
    </x:row>
    <x:row r="915" ht="58" customHeight="1">
      <x:c r="A915" s="23" t="str">
        <x:v>1020496504667</x:v>
      </x:c>
      <x:c r="B915" s="22"/>
      <x:c r="C915" s="22"/>
      <x:c r="D915" s="22"/>
      <x:c r="E915" s="9" t="str">
        <x:v>裙长未明确</x:v>
      </x:c>
      <x:c r="F915" s="9" t="str">
        <x:v>裙装</x:v>
      </x:c>
      <x:c r="G915" s="9" t="str">
        <x:v>半身裙</x:v>
      </x:c>
      <x:c r="H915" s="9" t="str">
        <x:v>女</x:v>
      </x:c>
      <x:c r="I915" s="9" t="str">
        <x:v>WMWM 花卉十字绣蓬蓬半裙</x:v>
      </x:c>
      <x:c r="J915" s="9" t="str">
        <x:v>WMWM</x:v>
      </x:c>
      <x:c r="K915" s="24" t="n">
        <x:v>1541.64</x:v>
      </x:c>
      <x:c r="L915" s="25" t="e">
        <x:f>HYPERLINK("https://item.taobao.com/item.htm?id=1020496504667","打开商品")</x:f>
        <x:v>HYPERLINK is not implemented. linkLocation=https://item.taobao.com/item.htm?id=1020496504667, friendlyName=打开商品</x:v>
      </x:c>
      <x:c r="M915" s="25" t="e">
        <x:f>HYPERLINK("https://data.zhiyitech.cn/itemDetail/overview/base?itemId=1020496504667","打开知衣")</x:f>
        <x:v>HYPERLINK is not implemented. linkLocation=https://data.zhiyitech.cn/itemDetail/overview/base?itemId=1020496504667, friendlyName=打开知衣</x:v>
      </x:c>
      <x:c r="N915" s="25" t="e">
        <x:f>HYPERLINK("https://img.alicdn.com/bao/uploaded/i2/2212245860463/O1CN01J0vCvZjZEZB2vH2e_!!2212245860463.jpg","查看主图")</x:f>
        <x:v>HYPERLINK is not implemented. linkLocation=https://img.alicdn.com/bao/uploaded/i2/2212245860463/O1CN01J0vCvZjZEZB2vH2e_!!2212245860463.jpg, friendlyName=查看主图</x:v>
      </x:c>
      <x:c r="O915" s="9" t="str">
        <x:v>标题及既有类目语义复核；WMWM 花卉十字绣蓬蓬半裙；原类目及标题已能确认半身裙；展示使用已知大类，未知裙长下沉到结构字段，不强猜长短。</x:v>
      </x:c>
      <x:c r="P915" s="9" t="str">
        <x:v>普通男女装</x:v>
      </x:c>
      <x:c r="Q915" s="9" t="str">
        <x:v>W_SKIRTS_AVGPAID_1500_1600_ANNUAL2026.xlsx</x:v>
      </x:c>
      <x:c r="R915" s="9" t="str">
        <x:v>默认</x:v>
      </x:c>
      <x:c r="S915" s="9" t="n">
        <x:v>221</x:v>
      </x:c>
      <x:c r="T915" s="9" t="str">
        <x:v>deede8b56943df4f914be45dba170f12e69064023d6ef0e88dbde1764f6ba23e</x:v>
      </x:c>
      <x:c r="U915" s="9" t="str">
        <x:v>W_SKIRTS_AVGPAID_1500_1600_ANNUAL2026</x:v>
      </x:c>
      <x:c r="V915" s="9" t="str">
        <x:v>W_SKIRTS_AVGPAID_1500_1600_ANNUAL2026.xlsx / 默认 / 第221行 / SHA256 deede8b56943df4f914be45dba170f12e69064023d6ef0e88dbde1764f6ba23e</x:v>
      </x:c>
    </x:row>
    <x:row r="916" ht="58" customHeight="1">
      <x:c r="A916" s="23" t="str">
        <x:v>1026626615091</x:v>
      </x:c>
      <x:c r="B916" s="22"/>
      <x:c r="C916" s="22"/>
      <x:c r="D916" s="22"/>
      <x:c r="E916" s="9" t="str">
        <x:v>裙长未明确</x:v>
      </x:c>
      <x:c r="F916" s="9" t="str">
        <x:v>裙装</x:v>
      </x:c>
      <x:c r="G916" s="9" t="str">
        <x:v>半身裙</x:v>
      </x:c>
      <x:c r="H916" s="9" t="str">
        <x:v>女</x:v>
      </x:c>
      <x:c r="I916" s="9" t="str">
        <x:v>WMWM 设计师品牌 26春夏新品 花卉十字绣蓬蓬半裙 SOLSOL买手店</x:v>
      </x:c>
      <x:c r="J916" s="9" t="str">
        <x:v>WMWM</x:v>
      </x:c>
      <x:c r="K916" s="24" t="n">
        <x:v>1552.75</x:v>
      </x:c>
      <x:c r="L916" s="25" t="e">
        <x:f>HYPERLINK("https://item.taobao.com/item.htm?id=1026626615091","打开商品")</x:f>
        <x:v>HYPERLINK is not implemented. linkLocation=https://item.taobao.com/item.htm?id=1026626615091, friendlyName=打开商品</x:v>
      </x:c>
      <x:c r="M916" s="25" t="e">
        <x:f>HYPERLINK("https://data.zhiyitech.cn/itemDetail/overview/base?itemId=1026626615091","打开知衣")</x:f>
        <x:v>HYPERLINK is not implemented. linkLocation=https://data.zhiyitech.cn/itemDetail/overview/base?itemId=1026626615091, friendlyName=打开知衣</x:v>
      </x:c>
      <x:c r="N916" s="25" t="e">
        <x:f>HYPERLINK("https://img.alicdn.com/bao/uploaded/i2/158221013/O1CN01zebgRv1JM0ML0beVZ_!!158221013.jpg","查看主图")</x:f>
        <x:v>HYPERLINK is not implemented. linkLocation=https://img.alicdn.com/bao/uploaded/i2/158221013/O1CN01zebgRv1JM0ML0beVZ_!!158221013.jpg, friendlyName=查看主图</x:v>
      </x:c>
      <x:c r="O916" s="9" t="str">
        <x:v>标题及既有类目语义复核；WMWM 设计师品牌 26春夏新品 花卉十字绣蓬蓬半裙 SOLSOL买手店；原类目及标题已能确认半身裙；展示使用已知大类，未知裙长下沉到结构字段，不强猜长短。</x:v>
      </x:c>
      <x:c r="P916" s="9" t="str">
        <x:v>普通男女装</x:v>
      </x:c>
      <x:c r="Q916" s="9" t="str">
        <x:v>W_SKIRTS_AVGPAID_1500_1600_ANNUAL2026.xlsx</x:v>
      </x:c>
      <x:c r="R916" s="9" t="str">
        <x:v>默认</x:v>
      </x:c>
      <x:c r="S916" s="9" t="n">
        <x:v>382</x:v>
      </x:c>
      <x:c r="T916" s="9" t="str">
        <x:v>deede8b56943df4f914be45dba170f12e69064023d6ef0e88dbde1764f6ba23e</x:v>
      </x:c>
      <x:c r="U916" s="9" t="str">
        <x:v>W_SKIRTS_AVGPAID_1500_1600_ANNUAL2026</x:v>
      </x:c>
      <x:c r="V916" s="9" t="str">
        <x:v>W_SKIRTS_AVGPAID_1500_1600_ANNUAL2026.xlsx / 默认 / 第382行 / SHA256 deede8b56943df4f914be45dba170f12e69064023d6ef0e88dbde1764f6ba23e</x:v>
      </x:c>
    </x:row>
    <x:row r="917" ht="58" customHeight="1">
      <x:c r="A917" s="23" t="str">
        <x:v>965197314983</x:v>
      </x:c>
      <x:c r="B917" s="22"/>
      <x:c r="C917" s="22"/>
      <x:c r="D917" s="22"/>
      <x:c r="E917" s="9" t="str">
        <x:v>裙长未明确</x:v>
      </x:c>
      <x:c r="F917" s="9" t="str">
        <x:v>裙装</x:v>
      </x:c>
      <x:c r="G917" s="9" t="str">
        <x:v>半身裙</x:v>
      </x:c>
      <x:c r="H917" s="9" t="str">
        <x:v>女</x:v>
      </x:c>
      <x:c r="I917" s="9" t="str">
        <x:v>WMWM 叠褶A字蓬蓬伞裙</x:v>
      </x:c>
      <x:c r="J917" s="9" t="str">
        <x:v>WMWM</x:v>
      </x:c>
      <x:c r="K917" s="24" t="n">
        <x:v>1726.58</x:v>
      </x:c>
      <x:c r="L917" s="25" t="e">
        <x:f>HYPERLINK("https://item.taobao.com/item.htm?id=965197314983","打开商品")</x:f>
        <x:v>HYPERLINK is not implemented. linkLocation=https://item.taobao.com/item.htm?id=965197314983, friendlyName=打开商品</x:v>
      </x:c>
      <x:c r="M917" s="25" t="e">
        <x:f>HYPERLINK("https://data.zhiyitech.cn/itemDetail/overview/base?itemId=965197314983","打开知衣")</x:f>
        <x:v>HYPERLINK is not implemented. linkLocation=https://data.zhiyitech.cn/itemDetail/overview/base?itemId=965197314983, friendlyName=打开知衣</x:v>
      </x:c>
      <x:c r="N917" s="25" t="e">
        <x:f>HYPERLINK("https://img.alicdn.com/bao/uploaded/i2/2212245860463/O1CN01garNAZM8okI2vH2e_!!2212245860463.jpg","查看主图")</x:f>
        <x:v>HYPERLINK is not implemented. linkLocation=https://img.alicdn.com/bao/uploaded/i2/2212245860463/O1CN01garNAZM8okI2vH2e_!!2212245860463.jpg, friendlyName=查看主图</x:v>
      </x:c>
      <x:c r="O917" s="9" t="str">
        <x:v>标题及既有类目语义复核；WMWM 叠褶A字蓬蓬伞裙；原类目及标题已能确认半身裙；展示使用已知大类，未知裙长下沉到结构字段，不强猜长短。</x:v>
      </x:c>
      <x:c r="P917" s="9" t="str">
        <x:v>普通男女装</x:v>
      </x:c>
      <x:c r="Q917" s="9" t="str">
        <x:v>W_SKIRTS_AVGPAID_1700_1800_ANNUAL2026.xlsx</x:v>
      </x:c>
      <x:c r="R917" s="9" t="str">
        <x:v>默认</x:v>
      </x:c>
      <x:c r="S917" s="9" t="n">
        <x:v>332</x:v>
      </x:c>
      <x:c r="T917" s="9" t="str">
        <x:v>c25ed77c53c7c5cfcf728778a0e9b297d8689503f62756a939cbd534ca9b587a</x:v>
      </x:c>
      <x:c r="U917" s="9" t="str">
        <x:v>W_SKIRTS_AVGPAID_1700_1800_ANNUAL2026</x:v>
      </x:c>
      <x:c r="V917" s="9" t="str">
        <x:v>W_SKIRTS_AVGPAID_1700_1800_ANNUAL2026.xlsx / 默认 / 第332行 / SHA256 c25ed77c53c7c5cfcf728778a0e9b297d8689503f62756a939cbd534ca9b587a</x:v>
      </x:c>
    </x:row>
    <x:row r="918" ht="58" customHeight="1">
      <x:c r="A918" s="23" t="str">
        <x:v>1081133454929</x:v>
      </x:c>
      <x:c r="B918" s="22"/>
      <x:c r="C918" s="22"/>
      <x:c r="D918" s="22"/>
      <x:c r="E918" s="9" t="str">
        <x:v>裙长未明确</x:v>
      </x:c>
      <x:c r="F918" s="9" t="str">
        <x:v>裙装</x:v>
      </x:c>
      <x:c r="G918" s="9" t="str">
        <x:v>半身裙</x:v>
      </x:c>
      <x:c r="H918" s="9" t="str">
        <x:v>女</x:v>
      </x:c>
      <x:c r="I918" s="9" t="str">
        <x:v>Wolford/沃尔福特2026秋季新款空气棉直筒裙53768</x:v>
      </x:c>
      <x:c r="J918" s="9" t="str">
        <x:v>WOLFORD/沃尔福特</x:v>
      </x:c>
      <x:c r="K918" s="24" t="n">
        <x:v>1706.32</x:v>
      </x:c>
      <x:c r="L918" s="25" t="e">
        <x:f>HYPERLINK("https://item.taobao.com/item.htm?id=1081133454929","打开商品")</x:f>
        <x:v>HYPERLINK is not implemented. linkLocation=https://item.taobao.com/item.htm?id=1081133454929, friendlyName=打开商品</x:v>
      </x:c>
      <x:c r="M918" s="25" t="e">
        <x:f>HYPERLINK("https://data.zhiyitech.cn/itemDetail/overview/base?itemId=1081133454929","打开知衣")</x:f>
        <x:v>HYPERLINK is not implemented. linkLocation=https://data.zhiyitech.cn/itemDetail/overview/base?itemId=1081133454929, friendlyName=打开知衣</x:v>
      </x:c>
      <x:c r="N918" s="25" t="e">
        <x:f>HYPERLINK("https://img.alicdn.com/bao/uploaded/i1/2604323567/O1CN01QtOM4YhH87D2vH2e_!!2604323567.jpg","查看主图")</x:f>
        <x:v>HYPERLINK is not implemented. linkLocation=https://img.alicdn.com/bao/uploaded/i1/2604323567/O1CN01QtOM4YhH87D2vH2e_!!2604323567.jpg, friendlyName=查看主图</x:v>
      </x:c>
      <x:c r="O918" s="9" t="str">
        <x:v>标题及既有类目语义复核；Wolford/沃尔福特2026秋季新款空气棉直筒裙53768；原类目及标题已能确认半身裙；展示使用已知大类，未知裙长下沉到结构字段，不强猜长短。</x:v>
      </x:c>
      <x:c r="P918" s="9" t="str">
        <x:v>普通男女装</x:v>
      </x:c>
      <x:c r="Q918" s="9" t="str">
        <x:v>W_SKIRTS_AVGPAID_1700_1800_ANNUAL2026.xlsx</x:v>
      </x:c>
      <x:c r="R918" s="9" t="str">
        <x:v>默认</x:v>
      </x:c>
      <x:c r="S918" s="9" t="n">
        <x:v>375</x:v>
      </x:c>
      <x:c r="T918" s="9" t="str">
        <x:v>c25ed77c53c7c5cfcf728778a0e9b297d8689503f62756a939cbd534ca9b587a</x:v>
      </x:c>
      <x:c r="U918" s="9" t="str">
        <x:v>W_SKIRTS_AVGPAID_1700_1800_ANNUAL2026</x:v>
      </x:c>
      <x:c r="V918" s="9" t="str">
        <x:v>W_SKIRTS_AVGPAID_1700_1800_ANNUAL2026.xlsx / 默认 / 第375行 / SHA256 c25ed77c53c7c5cfcf728778a0e9b297d8689503f62756a939cbd534ca9b587a</x:v>
      </x:c>
    </x:row>
    <x:row r="919" ht="58" customHeight="1">
      <x:c r="A919" s="23" t="str">
        <x:v>968832776093</x:v>
      </x:c>
      <x:c r="B919" s="22"/>
      <x:c r="C919" s="22"/>
      <x:c r="D919" s="22"/>
      <x:c r="E919" s="9" t="str">
        <x:v>裙长未明确</x:v>
      </x:c>
      <x:c r="F919" s="9" t="str">
        <x:v>裙装</x:v>
      </x:c>
      <x:c r="G919" s="9" t="str">
        <x:v>半身裙</x:v>
      </x:c>
      <x:c r="H919" s="9" t="str">
        <x:v>女</x:v>
      </x:c>
      <x:c r="I919" s="9" t="str">
        <x:v>XU ZHI丝绒拼接垂坠双层半裙</x:v>
      </x:c>
      <x:c r="J919" s="9" t="str">
        <x:v>XU ZHI BY XUZHI CHEN</x:v>
      </x:c>
      <x:c r="K919" s="24" t="n">
        <x:v>1745.28</x:v>
      </x:c>
      <x:c r="L919" s="25" t="e">
        <x:f>HYPERLINK("https://item.taobao.com/item.htm?id=968832776093","打开商品")</x:f>
        <x:v>HYPERLINK is not implemented. linkLocation=https://item.taobao.com/item.htm?id=968832776093, friendlyName=打开商品</x:v>
      </x:c>
      <x:c r="M919" s="25" t="e">
        <x:f>HYPERLINK("https://data.zhiyitech.cn/itemDetail/overview/base?itemId=968832776093","打开知衣")</x:f>
        <x:v>HYPERLINK is not implemented. linkLocation=https://data.zhiyitech.cn/itemDetail/overview/base?itemId=968832776093, friendlyName=打开知衣</x:v>
      </x:c>
      <x:c r="N919" s="25" t="e">
        <x:f>HYPERLINK("https://img.alicdn.com/bao/uploaded/i3/2212413814436/O1CN01Ub9eDKplTxB1chua_!!2212413814436.jpg","查看主图")</x:f>
        <x:v>HYPERLINK is not implemented. linkLocation=https://img.alicdn.com/bao/uploaded/i3/2212413814436/O1CN01Ub9eDKplTxB1chua_!!2212413814436.jpg, friendlyName=查看主图</x:v>
      </x:c>
      <x:c r="O919" s="9" t="str">
        <x:v>标题及既有类目语义复核；XU ZHI丝绒拼接垂坠双层半裙；原类目及标题已能确认半身裙；展示使用已知大类，未知裙长下沉到结构字段，不强猜长短。</x:v>
      </x:c>
      <x:c r="P919" s="9" t="str">
        <x:v>普通男女装</x:v>
      </x:c>
      <x:c r="Q919" s="9" t="str">
        <x:v>W_SKIRTS_AVGPAID_1700_1800_ANNUAL2026.xlsx</x:v>
      </x:c>
      <x:c r="R919" s="9" t="str">
        <x:v>默认</x:v>
      </x:c>
      <x:c r="S919" s="9" t="n">
        <x:v>302</x:v>
      </x:c>
      <x:c r="T919" s="9" t="str">
        <x:v>c25ed77c53c7c5cfcf728778a0e9b297d8689503f62756a939cbd534ca9b587a</x:v>
      </x:c>
      <x:c r="U919" s="9" t="str">
        <x:v>W_SKIRTS_AVGPAID_1700_1800_ANNUAL2026</x:v>
      </x:c>
      <x:c r="V919" s="9" t="str">
        <x:v>W_SKIRTS_AVGPAID_1700_1800_ANNUAL2026.xlsx / 默认 / 第302行 / SHA256 c25ed77c53c7c5cfcf728778a0e9b297d8689503f62756a939cbd534ca9b587a</x:v>
      </x:c>
    </x:row>
    <x:row r="920" ht="58" customHeight="1">
      <x:c r="A920" s="23" t="str">
        <x:v>1047625096683</x:v>
      </x:c>
      <x:c r="B920" s="22"/>
      <x:c r="C920" s="22"/>
      <x:c r="D920" s="22"/>
      <x:c r="E920" s="9" t="str">
        <x:v>裙长未明确</x:v>
      </x:c>
      <x:c r="F920" s="9" t="str">
        <x:v>裙装</x:v>
      </x:c>
      <x:c r="G920" s="9" t="str">
        <x:v>半身裙</x:v>
      </x:c>
      <x:c r="H920" s="9" t="str">
        <x:v>女</x:v>
      </x:c>
      <x:c r="I920" s="9" t="str">
        <x:v>YAOZONKU姚宗谷设计师款26春夏侧袋松紧腰亚麻花苞裙宽松半身裙</x:v>
      </x:c>
      <x:c r="J920" s="9" t="str">
        <x:v>YAOZONKU</x:v>
      </x:c>
      <x:c r="K920" s="24" t="n">
        <x:v>1308.39</x:v>
      </x:c>
      <x:c r="L920" s="25" t="e">
        <x:f>HYPERLINK("https://item.taobao.com/item.htm?id=1047625096683","打开商品")</x:f>
        <x:v>HYPERLINK is not implemented. linkLocation=https://item.taobao.com/item.htm?id=1047625096683, friendlyName=打开商品</x:v>
      </x:c>
      <x:c r="M920" s="25" t="e">
        <x:f>HYPERLINK("https://data.zhiyitech.cn/itemDetail/overview/base?itemId=1047625096683","打开知衣")</x:f>
        <x:v>HYPERLINK is not implemented. linkLocation=https://data.zhiyitech.cn/itemDetail/overview/base?itemId=1047625096683, friendlyName=打开知衣</x:v>
      </x:c>
      <x:c r="N920" s="25" t="e">
        <x:f>HYPERLINK("https://img.alicdn.com/bao/uploaded/i1/2216115468902/O1CN01vBnCh52FdAuiHMLxK_!!4611686018427386470-2-item_pic.png","查看主图")</x:f>
        <x:v>HYPERLINK is not implemented. linkLocation=https://img.alicdn.com/bao/uploaded/i1/2216115468902/O1CN01vBnCh52FdAuiHMLxK_!!4611686018427386470-2-item_pic.png, friendlyName=查看主图</x:v>
      </x:c>
      <x:c r="O920" s="9" t="str">
        <x:v>标题及既有类目语义复核；YAOZONKU姚宗谷设计师款26春夏侧袋松紧腰亚麻花苞裙宽松半身裙；原类目及标题已能确认半身裙；展示使用已知大类，未知裙长下沉到结构字段，不强猜长短。</x:v>
      </x:c>
      <x:c r="P920" s="9" t="str">
        <x:v>普通男女装</x:v>
      </x:c>
      <x:c r="Q920" s="9" t="str">
        <x:v>W_SKIRTS_AVGPAID_1300_1400_ANNUAL2026.xlsx</x:v>
      </x:c>
      <x:c r="R920" s="9" t="str">
        <x:v>默认</x:v>
      </x:c>
      <x:c r="S920" s="9" t="n">
        <x:v>134</x:v>
      </x:c>
      <x:c r="T920" s="9" t="str">
        <x:v>bd4dae1e08e9eca7ddd0669235bf59107cdc418b9c2898fc16f36a7ab5748692</x:v>
      </x:c>
      <x:c r="U920" s="9" t="str">
        <x:v>W_SKIRTS_AVGPAID_1300_1400_ANNUAL2026</x:v>
      </x:c>
      <x:c r="V920" s="9" t="str">
        <x:v>W_SKIRTS_AVGPAID_1300_1400_ANNUAL2026.xlsx / 默认 / 第134行 / SHA256 bd4dae1e08e9eca7ddd0669235bf59107cdc418b9c2898fc16f36a7ab5748692</x:v>
      </x:c>
    </x:row>
    <x:row r="921" ht="58" customHeight="1">
      <x:c r="A921" s="23" t="str">
        <x:v>1003877746164</x:v>
      </x:c>
      <x:c r="B921" s="22"/>
      <x:c r="C921" s="22"/>
      <x:c r="D921" s="22"/>
      <x:c r="E921" s="9" t="str">
        <x:v>裙长未明确</x:v>
      </x:c>
      <x:c r="F921" s="9" t="str">
        <x:v>裙装</x:v>
      </x:c>
      <x:c r="G921" s="9" t="str">
        <x:v>半身裙</x:v>
      </x:c>
      <x:c r="H921" s="9" t="str">
        <x:v>女</x:v>
      </x:c>
      <x:c r="I921" s="9" t="str">
        <x:v>YEARLY PLAN 2026年新款简约低腰柔软休闲棉丝半身裙裙子女</x:v>
      </x:c>
      <x:c r="J921" s="9" t="str">
        <x:v>YEARLY PLAN</x:v>
      </x:c>
      <x:c r="K921" s="24" t="n">
        <x:v>1565.74</x:v>
      </x:c>
      <x:c r="L921" s="25" t="e">
        <x:f>HYPERLINK("https://item.taobao.com/item.htm?id=1003877746164","打开商品")</x:f>
        <x:v>HYPERLINK is not implemented. linkLocation=https://item.taobao.com/item.htm?id=1003877746164, friendlyName=打开商品</x:v>
      </x:c>
      <x:c r="M921" s="25" t="e">
        <x:f>HYPERLINK("https://data.zhiyitech.cn/itemDetail/overview/base?itemId=1003877746164","打开知衣")</x:f>
        <x:v>HYPERLINK is not implemented. linkLocation=https://data.zhiyitech.cn/itemDetail/overview/base?itemId=1003877746164, friendlyName=打开知衣</x:v>
      </x:c>
      <x:c r="N921" s="25" t="e">
        <x:f>HYPERLINK("https://img.alicdn.com/bao/uploaded/i3/2214258686830/O1CN01bsC7iy20KCF2HJM2i_!!4611686018427386734-0-item_pic.jpg","查看主图")</x:f>
        <x:v>HYPERLINK is not implemented. linkLocation=https://img.alicdn.com/bao/uploaded/i3/2214258686830/O1CN01bsC7iy20KCF2HJM2i_!!4611686018427386734-0-item_pic.jpg, friendlyName=查看主图</x:v>
      </x:c>
      <x:c r="O921" s="9" t="str">
        <x:v>标题及既有类目语义复核；YEARLY PLAN 2026年新款简约低腰柔软休闲棉丝半身裙裙子女；原类目及标题已能确认半身裙；展示使用已知大类，未知裙长下沉到结构字段，不强猜长短。</x:v>
      </x:c>
      <x:c r="P921" s="9" t="str">
        <x:v>普通男女装</x:v>
      </x:c>
      <x:c r="Q921" s="9" t="str">
        <x:v>W_SKIRTS_AVGPAID_1500_1600_ANNUAL2026.xlsx</x:v>
      </x:c>
      <x:c r="R921" s="9" t="str">
        <x:v>默认</x:v>
      </x:c>
      <x:c r="S921" s="9" t="n">
        <x:v>351</x:v>
      </x:c>
      <x:c r="T921" s="9" t="str">
        <x:v>deede8b56943df4f914be45dba170f12e69064023d6ef0e88dbde1764f6ba23e</x:v>
      </x:c>
      <x:c r="U921" s="9" t="str">
        <x:v>W_SKIRTS_AVGPAID_1500_1600_ANNUAL2026</x:v>
      </x:c>
      <x:c r="V921" s="9" t="str">
        <x:v>W_SKIRTS_AVGPAID_1500_1600_ANNUAL2026.xlsx / 默认 / 第351行 / SHA256 deede8b56943df4f914be45dba170f12e69064023d6ef0e88dbde1764f6ba23e</x:v>
      </x:c>
    </x:row>
    <x:row r="922" ht="58" customHeight="1">
      <x:c r="A922" s="23" t="str">
        <x:v>1004264793835</x:v>
      </x:c>
      <x:c r="B922" s="22"/>
      <x:c r="C922" s="22"/>
      <x:c r="D922" s="22"/>
      <x:c r="E922" s="9" t="str">
        <x:v>裙长未明确</x:v>
      </x:c>
      <x:c r="F922" s="9" t="str">
        <x:v>裙装</x:v>
      </x:c>
      <x:c r="G922" s="9" t="str">
        <x:v>半身裙</x:v>
      </x:c>
      <x:c r="H922" s="9" t="str">
        <x:v>女</x:v>
      </x:c>
      <x:c r="I922" s="9" t="str">
        <x:v>YEARLY PLAN 新款简约气质流行休闲棉质半身裙裙子女</x:v>
      </x:c>
      <x:c r="J922" s="9" t="str">
        <x:v>YEARLY PLAN</x:v>
      </x:c>
      <x:c r="K922" s="24" t="n">
        <x:v>1578.33</x:v>
      </x:c>
      <x:c r="L922" s="25" t="e">
        <x:f>HYPERLINK("https://item.taobao.com/item.htm?id=1004264793835","打开商品")</x:f>
        <x:v>HYPERLINK is not implemented. linkLocation=https://item.taobao.com/item.htm?id=1004264793835, friendlyName=打开商品</x:v>
      </x:c>
      <x:c r="M922" s="25" t="e">
        <x:f>HYPERLINK("https://data.zhiyitech.cn/itemDetail/overview/base?itemId=1004264793835","打开知衣")</x:f>
        <x:v>HYPERLINK is not implemented. linkLocation=https://data.zhiyitech.cn/itemDetail/overview/base?itemId=1004264793835, friendlyName=打开知衣</x:v>
      </x:c>
      <x:c r="N922" s="25" t="e">
        <x:f>HYPERLINK("https://img.alicdn.com/bao/uploaded/i2/2214258686830/O1CN01LPAYaf20KCF0sLidS_!!4611686018427386734-0-item_pic.jpg","查看主图")</x:f>
        <x:v>HYPERLINK is not implemented. linkLocation=https://img.alicdn.com/bao/uploaded/i2/2214258686830/O1CN01LPAYaf20KCF0sLidS_!!4611686018427386734-0-item_pic.jpg, friendlyName=查看主图</x:v>
      </x:c>
      <x:c r="O922" s="9" t="str">
        <x:v>标题及既有类目语义复核；YEARLY PLAN 新款简约气质流行休闲棉质半身裙裙子女；原类目及标题已能确认半身裙；展示使用已知大类，未知裙长下沉到结构字段，不强猜长短。</x:v>
      </x:c>
      <x:c r="P922" s="9" t="str">
        <x:v>普通男女装</x:v>
      </x:c>
      <x:c r="Q922" s="9" t="str">
        <x:v>W_SKIRTS_AVGPAID_1500_1600_ANNUAL2026.xlsx</x:v>
      </x:c>
      <x:c r="R922" s="9" t="str">
        <x:v>默认</x:v>
      </x:c>
      <x:c r="S922" s="9" t="n">
        <x:v>464</x:v>
      </x:c>
      <x:c r="T922" s="9" t="str">
        <x:v>deede8b56943df4f914be45dba170f12e69064023d6ef0e88dbde1764f6ba23e</x:v>
      </x:c>
      <x:c r="U922" s="9" t="str">
        <x:v>W_SKIRTS_AVGPAID_1500_1600_ANNUAL2026</x:v>
      </x:c>
      <x:c r="V922" s="9" t="str">
        <x:v>W_SKIRTS_AVGPAID_1500_1600_ANNUAL2026.xlsx / 默认 / 第464行 / SHA256 deede8b56943df4f914be45dba170f12e69064023d6ef0e88dbde1764f6ba23e</x:v>
      </x:c>
    </x:row>
    <x:row r="923" ht="58" customHeight="1">
      <x:c r="A923" s="23" t="str">
        <x:v>1048331453284</x:v>
      </x:c>
      <x:c r="B923" s="22"/>
      <x:c r="C923" s="22"/>
      <x:c r="D923" s="22"/>
      <x:c r="E923" s="9" t="str">
        <x:v>裙长未明确</x:v>
      </x:c>
      <x:c r="F923" s="9" t="str">
        <x:v>裙装</x:v>
      </x:c>
      <x:c r="G923" s="9" t="str">
        <x:v>半身裙</x:v>
      </x:c>
      <x:c r="H923" s="9" t="str">
        <x:v>女</x:v>
      </x:c>
      <x:c r="I923" s="9" t="str">
        <x:v>YEARLY PLAN 半身裙女裙子</x:v>
      </x:c>
      <x:c r="J923" s="9" t="str">
        <x:v>YEARLY PLAN</x:v>
      </x:c>
      <x:c r="K923" s="24" t="n">
        <x:v>1550.79</x:v>
      </x:c>
      <x:c r="L923" s="25" t="e">
        <x:f>HYPERLINK("https://item.taobao.com/item.htm?id=1048331453284","打开商品")</x:f>
        <x:v>HYPERLINK is not implemented. linkLocation=https://item.taobao.com/item.htm?id=1048331453284, friendlyName=打开商品</x:v>
      </x:c>
      <x:c r="M923" s="25" t="e">
        <x:f>HYPERLINK("https://data.zhiyitech.cn/itemDetail/overview/base?itemId=1048331453284","打开知衣")</x:f>
        <x:v>HYPERLINK is not implemented. linkLocation=https://data.zhiyitech.cn/itemDetail/overview/base?itemId=1048331453284, friendlyName=打开知衣</x:v>
      </x:c>
      <x:c r="N923" s="25" t="e">
        <x:f>HYPERLINK("https://img.alicdn.com/bao/uploaded/i4/2214258686830/O1CN012tPPWK20KCGaywyWg_!!4611686018427386734-0-item_pic.jpg","查看主图")</x:f>
        <x:v>HYPERLINK is not implemented. linkLocation=https://img.alicdn.com/bao/uploaded/i4/2214258686830/O1CN012tPPWK20KCGaywyWg_!!4611686018427386734-0-item_pic.jpg, friendlyName=查看主图</x:v>
      </x:c>
      <x:c r="O923" s="9" t="str">
        <x:v>标题及既有类目语义复核；YEARLY PLAN 半身裙女裙子；原类目及标题已能确认半身裙；展示使用已知大类，未知裙长下沉到结构字段，不强猜长短。</x:v>
      </x:c>
      <x:c r="P923" s="9" t="str">
        <x:v>普通男女装</x:v>
      </x:c>
      <x:c r="Q923" s="9" t="str">
        <x:v>W_SKIRTS_AVGPAID_1500_1600_ANNUAL2026.xlsx</x:v>
      </x:c>
      <x:c r="R923" s="9" t="str">
        <x:v>默认</x:v>
      </x:c>
      <x:c r="S923" s="9" t="n">
        <x:v>413</x:v>
      </x:c>
      <x:c r="T923" s="9" t="str">
        <x:v>deede8b56943df4f914be45dba170f12e69064023d6ef0e88dbde1764f6ba23e</x:v>
      </x:c>
      <x:c r="U923" s="9" t="str">
        <x:v>W_SKIRTS_AVGPAID_1500_1600_ANNUAL2026</x:v>
      </x:c>
      <x:c r="V923" s="9" t="str">
        <x:v>W_SKIRTS_AVGPAID_1500_1600_ANNUAL2026.xlsx / 默认 / 第413行 / SHA256 deede8b56943df4f914be45dba170f12e69064023d6ef0e88dbde1764f6ba23e</x:v>
      </x:c>
    </x:row>
    <x:row r="924" ht="58" customHeight="1">
      <x:c r="A924" s="23" t="str">
        <x:v>1067204307099</x:v>
      </x:c>
      <x:c r="B924" s="22"/>
      <x:c r="C924" s="22"/>
      <x:c r="D924" s="22"/>
      <x:c r="E924" s="9" t="str">
        <x:v>裙长未明确</x:v>
      </x:c>
      <x:c r="F924" s="9" t="str">
        <x:v>裙装</x:v>
      </x:c>
      <x:c r="G924" s="9" t="str">
        <x:v>半身裙</x:v>
      </x:c>
      <x:c r="H924" s="9" t="str">
        <x:v>男女通用</x:v>
      </x:c>
      <x:c r="I924" s="9" t="str">
        <x:v>YEARLY PLAN 26AW 成衣系列棉质手工洗褪复古针织半裙</x:v>
      </x:c>
      <x:c r="J924" s="9" t="str">
        <x:v>YEARLY PLAN</x:v>
      </x:c>
      <x:c r="K924" s="24" t="n">
        <x:v>1593.8</x:v>
      </x:c>
      <x:c r="L924" s="25" t="e">
        <x:f>HYPERLINK("https://item.taobao.com/item.htm?id=1067204307099","打开商品")</x:f>
        <x:v>HYPERLINK is not implemented. linkLocation=https://item.taobao.com/item.htm?id=1067204307099, friendlyName=打开商品</x:v>
      </x:c>
      <x:c r="M924" s="25" t="e">
        <x:f>HYPERLINK("https://data.zhiyitech.cn/itemDetail/overview/base?itemId=1067204307099","打开知衣")</x:f>
        <x:v>HYPERLINK is not implemented. linkLocation=https://data.zhiyitech.cn/itemDetail/overview/base?itemId=1067204307099, friendlyName=打开知衣</x:v>
      </x:c>
      <x:c r="N924" s="25" t="e">
        <x:f>HYPERLINK("https://img.alicdn.com/bao/uploaded/i3/2214258686830/O1CN01hONMQf20KCHgvEX9W_!!4611686018427386734-0-item_pic.jpg","查看主图")</x:f>
        <x:v>HYPERLINK is not implemented. linkLocation=https://img.alicdn.com/bao/uploaded/i3/2214258686830/O1CN01hONMQf20KCHgvEX9W_!!4611686018427386734-0-item_pic.jpg, friendlyName=查看主图</x:v>
      </x:c>
      <x:c r="O924" s="9" t="str">
        <x:v>标题及既有类目语义复核；YEARLY PLAN 26AW 成衣系列棉质手工洗褪复古针织半裙；原类目及标题已能确认半身裙；展示使用已知大类，未知裙长下沉到结构字段，不强猜长短。</x:v>
      </x:c>
      <x:c r="P924" s="9" t="str">
        <x:v>普通男女装</x:v>
      </x:c>
      <x:c r="Q924" s="9" t="str">
        <x:v>W_SKIRTS_AVGPAID_1500_1600_ANNUAL2026.xlsx</x:v>
      </x:c>
      <x:c r="R924" s="9" t="str">
        <x:v>默认</x:v>
      </x:c>
      <x:c r="S924" s="9" t="n">
        <x:v>359</x:v>
      </x:c>
      <x:c r="T924" s="9" t="str">
        <x:v>deede8b56943df4f914be45dba170f12e69064023d6ef0e88dbde1764f6ba23e</x:v>
      </x:c>
      <x:c r="U924" s="9" t="str">
        <x:v>W_SKIRTS_AVGPAID_1500_1600_ANNUAL2026</x:v>
      </x:c>
      <x:c r="V924" s="9" t="str">
        <x:v>W_SKIRTS_AVGPAID_1500_1600_ANNUAL2026.xlsx / 默认 / 第359行 / SHA256 deede8b56943df4f914be45dba170f12e69064023d6ef0e88dbde1764f6ba23e</x:v>
      </x:c>
    </x:row>
    <x:row r="925" ht="58" customHeight="1">
      <x:c r="A925" s="23" t="str">
        <x:v>970296669117</x:v>
      </x:c>
      <x:c r="B925" s="22"/>
      <x:c r="C925" s="22"/>
      <x:c r="D925" s="22"/>
      <x:c r="E925" s="9" t="str">
        <x:v>裙长未明确</x:v>
      </x:c>
      <x:c r="F925" s="9" t="str">
        <x:v>裙装</x:v>
      </x:c>
      <x:c r="G925" s="9" t="str">
        <x:v>半身裙</x:v>
      </x:c>
      <x:c r="H925" s="9" t="str">
        <x:v>女</x:v>
      </x:c>
      <x:c r="I925" s="9" t="str">
        <x:v>下架YEARLY PLAN 2025年秋季新品休闲羊毛半裙宽松微弹直筒半身裙</x:v>
      </x:c>
      <x:c r="J925" s="9" t="str">
        <x:v>YEARLY PLAN</x:v>
      </x:c>
      <x:c r="K925" s="24" t="n">
        <x:v>1798.88</x:v>
      </x:c>
      <x:c r="L925" s="25" t="e">
        <x:f>HYPERLINK("https://item.taobao.com/item.htm?id=970296669117","打开商品")</x:f>
        <x:v>HYPERLINK is not implemented. linkLocation=https://item.taobao.com/item.htm?id=970296669117, friendlyName=打开商品</x:v>
      </x:c>
      <x:c r="M925" s="25" t="e">
        <x:f>HYPERLINK("https://data.zhiyitech.cn/itemDetail/overview/base?itemId=970296669117","打开知衣")</x:f>
        <x:v>HYPERLINK is not implemented. linkLocation=https://data.zhiyitech.cn/itemDetail/overview/base?itemId=970296669117, friendlyName=打开知衣</x:v>
      </x:c>
      <x:c r="N925" s="25" t="e">
        <x:f>HYPERLINK("https://img.alicdn.com/bao/uploaded/i3/2214258686830/O1CN01SHY8Fv20KCDQCt3K5_!!4611686018427386734-0-item_pic.jpg","查看主图")</x:f>
        <x:v>HYPERLINK is not implemented. linkLocation=https://img.alicdn.com/bao/uploaded/i3/2214258686830/O1CN01SHY8Fv20KCDQCt3K5_!!4611686018427386734-0-item_pic.jpg, friendlyName=查看主图</x:v>
      </x:c>
      <x:c r="O925" s="9" t="str">
        <x:v>标题及既有类目语义复核；下架YEARLY PLAN 2025年秋季新品休闲羊毛半裙宽松微弹直筒半身裙；原类目及标题已能确认半身裙；展示使用已知大类，未知裙长下沉到结构字段，不强猜长短。</x:v>
      </x:c>
      <x:c r="P925" s="9" t="str">
        <x:v>普通男女装</x:v>
      </x:c>
      <x:c r="Q925" s="9" t="str">
        <x:v>W_SKIRTS_AVGPAID_1700_1800_ANNUAL2026.xlsx</x:v>
      </x:c>
      <x:c r="R925" s="9" t="str">
        <x:v>默认</x:v>
      </x:c>
      <x:c r="S925" s="9" t="n">
        <x:v>452</x:v>
      </x:c>
      <x:c r="T925" s="9" t="str">
        <x:v>c25ed77c53c7c5cfcf728778a0e9b297d8689503f62756a939cbd534ca9b587a</x:v>
      </x:c>
      <x:c r="U925" s="9" t="str">
        <x:v>W_SKIRTS_AVGPAID_1700_1800_ANNUAL2026</x:v>
      </x:c>
      <x:c r="V925" s="9" t="str">
        <x:v>W_SKIRTS_AVGPAID_1700_1800_ANNUAL2026.xlsx / 默认 / 第452行 / SHA256 c25ed77c53c7c5cfcf728778a0e9b297d8689503f62756a939cbd534ca9b587a</x:v>
      </x:c>
    </x:row>
    <x:row r="926" ht="58" customHeight="1">
      <x:c r="A926" s="23" t="str">
        <x:v>891514119226</x:v>
      </x:c>
      <x:c r="B926" s="22"/>
      <x:c r="C926" s="22"/>
      <x:c r="D926" s="22"/>
      <x:c r="E926" s="9" t="str">
        <x:v>裙长未明确</x:v>
      </x:c>
      <x:c r="F926" s="9" t="str">
        <x:v>裙装</x:v>
      </x:c>
      <x:c r="G926" s="9" t="str">
        <x:v>半身裙</x:v>
      </x:c>
      <x:c r="H926" s="9" t="str">
        <x:v>女</x:v>
      </x:c>
      <x:c r="I926" s="9" t="str">
        <x:v>[雨系水洗]YI衣臻 商旅套装 青玉色可水洗羊毛直筒半裙</x:v>
      </x:c>
      <x:c r="J926" s="9" t="str">
        <x:v>YI</x:v>
      </x:c>
      <x:c r="K926" s="24" t="n">
        <x:v>1750.53</x:v>
      </x:c>
      <x:c r="L926" s="25" t="e">
        <x:f>HYPERLINK("https://item.taobao.com/item.htm?id=891514119226","打开商品")</x:f>
        <x:v>HYPERLINK is not implemented. linkLocation=https://item.taobao.com/item.htm?id=891514119226, friendlyName=打开商品</x:v>
      </x:c>
      <x:c r="M926" s="25" t="e">
        <x:f>HYPERLINK("https://data.zhiyitech.cn/itemDetail/overview/base?itemId=891514119226","打开知衣")</x:f>
        <x:v>HYPERLINK is not implemented. linkLocation=https://data.zhiyitech.cn/itemDetail/overview/base?itemId=891514119226, friendlyName=打开知衣</x:v>
      </x:c>
      <x:c r="N926" s="25" t="e">
        <x:f>HYPERLINK("https://img.alicdn.com/bao/uploaded/i1/2215379877818/O1CN01JnTG5E27chTkhg2SX_!!4611686018427387834-0-item_pic.jpg","查看主图")</x:f>
        <x:v>HYPERLINK is not implemented. linkLocation=https://img.alicdn.com/bao/uploaded/i1/2215379877818/O1CN01JnTG5E27chTkhg2SX_!!4611686018427387834-0-item_pic.jpg, friendlyName=查看主图</x:v>
      </x:c>
      <x:c r="O926" s="9" t="str">
        <x:v>标题及既有类目语义复核；[雨系水洗]YI衣臻 商旅套装 青玉色可水洗羊毛直筒半裙；原类目及标题已能确认半身裙；展示使用已知大类，未知裙长下沉到结构字段，不强猜长短。</x:v>
      </x:c>
      <x:c r="P926" s="9" t="str">
        <x:v>普通男女装</x:v>
      </x:c>
      <x:c r="Q926" s="9" t="str">
        <x:v>W_SKIRTS_AVGPAID_1700_1800_ANNUAL2026.xlsx</x:v>
      </x:c>
      <x:c r="R926" s="9" t="str">
        <x:v>默认</x:v>
      </x:c>
      <x:c r="S926" s="9" t="n">
        <x:v>440</x:v>
      </x:c>
      <x:c r="T926" s="9" t="str">
        <x:v>c25ed77c53c7c5cfcf728778a0e9b297d8689503f62756a939cbd534ca9b587a</x:v>
      </x:c>
      <x:c r="U926" s="9" t="str">
        <x:v>W_SKIRTS_AVGPAID_1700_1800_ANNUAL2026</x:v>
      </x:c>
      <x:c r="V926" s="9" t="str">
        <x:v>W_SKIRTS_AVGPAID_1700_1800_ANNUAL2026.xlsx / 默认 / 第440行 / SHA256 c25ed77c53c7c5cfcf728778a0e9b297d8689503f62756a939cbd534ca9b587a</x:v>
      </x:c>
    </x:row>
    <x:row r="927" ht="58" customHeight="1">
      <x:c r="A927" s="23" t="str">
        <x:v>954875931528</x:v>
      </x:c>
      <x:c r="B927" s="22"/>
      <x:c r="C927" s="22"/>
      <x:c r="D927" s="22"/>
      <x:c r="E927" s="9" t="str">
        <x:v>裙长未明确</x:v>
      </x:c>
      <x:c r="F927" s="9" t="str">
        <x:v>裙装</x:v>
      </x:c>
      <x:c r="G927" s="9" t="str">
        <x:v>半身裙</x:v>
      </x:c>
      <x:c r="H927" s="9" t="str">
        <x:v>女</x:v>
      </x:c>
      <x:c r="I927" s="9" t="str">
        <x:v>[商场同款]YI衣臻 烟墨色渐变A型百褶半裙</x:v>
      </x:c>
      <x:c r="J927" s="9" t="str">
        <x:v>YI</x:v>
      </x:c>
      <x:c r="K927" s="24" t="n">
        <x:v>1565.13</x:v>
      </x:c>
      <x:c r="L927" s="25" t="e">
        <x:f>HYPERLINK("https://item.taobao.com/item.htm?id=954875931528","打开商品")</x:f>
        <x:v>HYPERLINK is not implemented. linkLocation=https://item.taobao.com/item.htm?id=954875931528, friendlyName=打开商品</x:v>
      </x:c>
      <x:c r="M927" s="25" t="e">
        <x:f>HYPERLINK("https://data.zhiyitech.cn/itemDetail/overview/base?itemId=954875931528","打开知衣")</x:f>
        <x:v>HYPERLINK is not implemented. linkLocation=https://data.zhiyitech.cn/itemDetail/overview/base?itemId=954875931528, friendlyName=打开知衣</x:v>
      </x:c>
      <x:c r="N927" s="25" t="e">
        <x:f>HYPERLINK("https://img.alicdn.com/bao/uploaded/i1/2215379877818/O1CN01ltNGQU27chWD2m4oy_!!4611686018427387834-0-item_pic.jpg","查看主图")</x:f>
        <x:v>HYPERLINK is not implemented. linkLocation=https://img.alicdn.com/bao/uploaded/i1/2215379877818/O1CN01ltNGQU27chWD2m4oy_!!4611686018427387834-0-item_pic.jpg, friendlyName=查看主图</x:v>
      </x:c>
      <x:c r="O927" s="9" t="str">
        <x:v>标题及既有类目语义复核；[商场同款]YI衣臻 烟墨色渐变A型百褶半裙；原类目及标题已能确认半身裙；展示使用已知大类，未知裙长下沉到结构字段，不强猜长短。</x:v>
      </x:c>
      <x:c r="P927" s="9" t="str">
        <x:v>普通男女装</x:v>
      </x:c>
      <x:c r="Q927" s="9" t="str">
        <x:v>W_SKIRTS_AVGPAID_1500_1600_ANNUAL2026.xlsx</x:v>
      </x:c>
      <x:c r="R927" s="9" t="str">
        <x:v>默认</x:v>
      </x:c>
      <x:c r="S927" s="9" t="n">
        <x:v>399</x:v>
      </x:c>
      <x:c r="T927" s="9" t="str">
        <x:v>deede8b56943df4f914be45dba170f12e69064023d6ef0e88dbde1764f6ba23e</x:v>
      </x:c>
      <x:c r="U927" s="9" t="str">
        <x:v>W_SKIRTS_AVGPAID_1500_1600_ANNUAL2026</x:v>
      </x:c>
      <x:c r="V927" s="9" t="str">
        <x:v>W_SKIRTS_AVGPAID_1500_1600_ANNUAL2026.xlsx / 默认 / 第399行 / SHA256 deede8b56943df4f914be45dba170f12e69064023d6ef0e88dbde1764f6ba23e</x:v>
      </x:c>
    </x:row>
    <x:row r="928" ht="58" customHeight="1">
      <x:c r="A928" s="23" t="str">
        <x:v>1008251903262</x:v>
      </x:c>
      <x:c r="B928" s="22"/>
      <x:c r="C928" s="22"/>
      <x:c r="D928" s="22"/>
      <x:c r="E928" s="9" t="str">
        <x:v>裙长未明确</x:v>
      </x:c>
      <x:c r="F928" s="9" t="str">
        <x:v>裙装</x:v>
      </x:c>
      <x:c r="G928" s="9" t="str">
        <x:v>半身裙</x:v>
      </x:c>
      <x:c r="H928" s="9" t="str">
        <x:v>女</x:v>
      </x:c>
      <x:c r="I928" s="9" t="str">
        <x:v>YIRANTIAN褶裥针织长半裙女</x:v>
      </x:c>
      <x:c r="J928" s="9" t="str">
        <x:v>YIRANTIAN</x:v>
      </x:c>
      <x:c r="K928" s="24" t="n">
        <x:v>1758.09</x:v>
      </x:c>
      <x:c r="L928" s="25" t="e">
        <x:f>HYPERLINK("https://item.taobao.com/item.htm?id=1008251903262","打开商品")</x:f>
        <x:v>HYPERLINK is not implemented. linkLocation=https://item.taobao.com/item.htm?id=1008251903262, friendlyName=打开商品</x:v>
      </x:c>
      <x:c r="M928" s="25" t="e">
        <x:f>HYPERLINK("https://data.zhiyitech.cn/itemDetail/overview/base?itemId=1008251903262","打开知衣")</x:f>
        <x:v>HYPERLINK is not implemented. linkLocation=https://data.zhiyitech.cn/itemDetail/overview/base?itemId=1008251903262, friendlyName=打开知衣</x:v>
      </x:c>
      <x:c r="N928" s="25" t="e">
        <x:f>HYPERLINK("https://img.alicdn.com/bao/uploaded/i1/3903754847/O1CN01KVDe8kkO2xC1chua_!!3903754847.jpg","查看主图")</x:f>
        <x:v>HYPERLINK is not implemented. linkLocation=https://img.alicdn.com/bao/uploaded/i1/3903754847/O1CN01KVDe8kkO2xC1chua_!!3903754847.jpg, friendlyName=查看主图</x:v>
      </x:c>
      <x:c r="O928" s="9" t="str">
        <x:v>标题及既有类目语义复核；YIRANTIAN褶裥针织长半裙女；原类目及标题已能确认半身裙；展示使用已知大类，未知裙长下沉到结构字段，不强猜长短。</x:v>
      </x:c>
      <x:c r="P928" s="9" t="str">
        <x:v>普通男女装</x:v>
      </x:c>
      <x:c r="Q928" s="9" t="str">
        <x:v>W_SKIRTS_AVGPAID_1700_1800_ANNUAL2026.xlsx</x:v>
      </x:c>
      <x:c r="R928" s="9" t="str">
        <x:v>默认</x:v>
      </x:c>
      <x:c r="S928" s="9" t="n">
        <x:v>175</x:v>
      </x:c>
      <x:c r="T928" s="9" t="str">
        <x:v>c25ed77c53c7c5cfcf728778a0e9b297d8689503f62756a939cbd534ca9b587a</x:v>
      </x:c>
      <x:c r="U928" s="9" t="str">
        <x:v>W_SKIRTS_AVGPAID_1700_1800_ANNUAL2026</x:v>
      </x:c>
      <x:c r="V928" s="9" t="str">
        <x:v>W_SKIRTS_AVGPAID_1700_1800_ANNUAL2026.xlsx / 默认 / 第175行 / SHA256 c25ed77c53c7c5cfcf728778a0e9b297d8689503f62756a939cbd534ca9b587a</x:v>
      </x:c>
    </x:row>
    <x:row r="929" ht="58" customHeight="1">
      <x:c r="A929" s="23" t="str">
        <x:v>1062838021067</x:v>
      </x:c>
      <x:c r="B929" s="22"/>
      <x:c r="C929" s="22"/>
      <x:c r="D929" s="22"/>
      <x:c r="E929" s="9" t="str">
        <x:v>裙长未明确</x:v>
      </x:c>
      <x:c r="F929" s="9" t="str">
        <x:v>裙装</x:v>
      </x:c>
      <x:c r="G929" s="9" t="str">
        <x:v>半身裙</x:v>
      </x:c>
      <x:c r="H929" s="9" t="str">
        <x:v>女</x:v>
      </x:c>
      <x:c r="I929" s="9" t="str">
        <x:v>【YIRANTIAN】2026秋季新款优雅简约轻盈立体压褶蕾丝短半裙女</x:v>
      </x:c>
      <x:c r="J929" s="9" t="str">
        <x:v>YIRANTIAN</x:v>
      </x:c>
      <x:c r="K929" s="24" t="n">
        <x:v>1522.25</x:v>
      </x:c>
      <x:c r="L929" s="25" t="e">
        <x:f>HYPERLINK("https://item.taobao.com/item.htm?id=1062838021067","打开商品")</x:f>
        <x:v>HYPERLINK is not implemented. linkLocation=https://item.taobao.com/item.htm?id=1062838021067, friendlyName=打开商品</x:v>
      </x:c>
      <x:c r="M929" s="25" t="e">
        <x:f>HYPERLINK("https://data.zhiyitech.cn/itemDetail/overview/base?itemId=1062838021067","打开知衣")</x:f>
        <x:v>HYPERLINK is not implemented. linkLocation=https://data.zhiyitech.cn/itemDetail/overview/base?itemId=1062838021067, friendlyName=打开知衣</x:v>
      </x:c>
      <x:c r="N929" s="25" t="e">
        <x:f>HYPERLINK("https://img.alicdn.com/bao/uploaded/i1/3903754847/O1CN01OxTUa3Y1B6H1chua_!!4611686018427384415-0-item_pic.jpg","查看主图")</x:f>
        <x:v>HYPERLINK is not implemented. linkLocation=https://img.alicdn.com/bao/uploaded/i1/3903754847/O1CN01OxTUa3Y1B6H1chua_!!4611686018427384415-0-item_pic.jpg, friendlyName=查看主图</x:v>
      </x:c>
      <x:c r="O929" s="9" t="str">
        <x:v>标题及既有类目语义复核；【YIRANTIAN】2026秋季新款优雅简约轻盈立体压褶蕾丝短半裙女；原类目及标题已能确认半身裙；展示使用已知大类，未知裙长下沉到结构字段，不强猜长短。</x:v>
      </x:c>
      <x:c r="P929" s="9" t="str">
        <x:v>普通男女装</x:v>
      </x:c>
      <x:c r="Q929" s="9" t="str">
        <x:v>W_SKIRTS_AVGPAID_1500_1600_ANNUAL2026.xlsx</x:v>
      </x:c>
      <x:c r="R929" s="9" t="str">
        <x:v>默认</x:v>
      </x:c>
      <x:c r="S929" s="9" t="n">
        <x:v>412</x:v>
      </x:c>
      <x:c r="T929" s="9" t="str">
        <x:v>deede8b56943df4f914be45dba170f12e69064023d6ef0e88dbde1764f6ba23e</x:v>
      </x:c>
      <x:c r="U929" s="9" t="str">
        <x:v>W_SKIRTS_AVGPAID_1500_1600_ANNUAL2026</x:v>
      </x:c>
      <x:c r="V929" s="9" t="str">
        <x:v>W_SKIRTS_AVGPAID_1500_1600_ANNUAL2026.xlsx / 默认 / 第412行 / SHA256 deede8b56943df4f914be45dba170f12e69064023d6ef0e88dbde1764f6ba23e</x:v>
      </x:c>
    </x:row>
    <x:row r="930" ht="58" customHeight="1">
      <x:c r="A930" s="23" t="str">
        <x:v>1063787052448</x:v>
      </x:c>
      <x:c r="B930" s="22"/>
      <x:c r="C930" s="22"/>
      <x:c r="D930" s="22"/>
      <x:c r="E930" s="9" t="str">
        <x:v>裙长未明确</x:v>
      </x:c>
      <x:c r="F930" s="9" t="str">
        <x:v>裙装</x:v>
      </x:c>
      <x:c r="G930" s="9" t="str">
        <x:v>半身裙</x:v>
      </x:c>
      <x:c r="H930" s="9" t="str">
        <x:v>女</x:v>
      </x:c>
      <x:c r="I930" s="9" t="str">
        <x:v>【YIRANTIAN】2026秋季新款明星同款立体压褶蕾丝直筒长半裙女</x:v>
      </x:c>
      <x:c r="J930" s="9" t="str">
        <x:v>YIRANTIAN</x:v>
      </x:c>
      <x:c r="K930" s="24" t="n">
        <x:v>1715.6</x:v>
      </x:c>
      <x:c r="L930" s="25" t="e">
        <x:f>HYPERLINK("https://item.taobao.com/item.htm?id=1063787052448","打开商品")</x:f>
        <x:v>HYPERLINK is not implemented. linkLocation=https://item.taobao.com/item.htm?id=1063787052448, friendlyName=打开商品</x:v>
      </x:c>
      <x:c r="M930" s="25" t="e">
        <x:f>HYPERLINK("https://data.zhiyitech.cn/itemDetail/overview/base?itemId=1063787052448","打开知衣")</x:f>
        <x:v>HYPERLINK is not implemented. linkLocation=https://data.zhiyitech.cn/itemDetail/overview/base?itemId=1063787052448, friendlyName=打开知衣</x:v>
      </x:c>
      <x:c r="N930" s="25" t="e">
        <x:f>HYPERLINK("https://img.alicdn.com/bao/uploaded/i4/3903754847/O1CN01d0isejiwO2F1chua_!!4611686018427384415-0-item_pic.jpg","查看主图")</x:f>
        <x:v>HYPERLINK is not implemented. linkLocation=https://img.alicdn.com/bao/uploaded/i4/3903754847/O1CN01d0isejiwO2F1chua_!!4611686018427384415-0-item_pic.jpg, friendlyName=查看主图</x:v>
      </x:c>
      <x:c r="O930" s="9" t="str">
        <x:v>标题及既有类目语义复核；【YIRANTIAN】2026秋季新款明星同款立体压褶蕾丝直筒长半裙女；原类目及标题已能确认半身裙；展示使用已知大类，未知裙长下沉到结构字段，不强猜长短。</x:v>
      </x:c>
      <x:c r="P930" s="9" t="str">
        <x:v>普通男女装</x:v>
      </x:c>
      <x:c r="Q930" s="9" t="str">
        <x:v>W_SKIRTS_AVGPAID_1700_1800_ANNUAL2026.xlsx</x:v>
      </x:c>
      <x:c r="R930" s="9" t="str">
        <x:v>默认</x:v>
      </x:c>
      <x:c r="S930" s="9" t="n">
        <x:v>255</x:v>
      </x:c>
      <x:c r="T930" s="9" t="str">
        <x:v>c25ed77c53c7c5cfcf728778a0e9b297d8689503f62756a939cbd534ca9b587a</x:v>
      </x:c>
      <x:c r="U930" s="9" t="str">
        <x:v>W_SKIRTS_AVGPAID_1700_1800_ANNUAL2026</x:v>
      </x:c>
      <x:c r="V930" s="9" t="str">
        <x:v>W_SKIRTS_AVGPAID_1700_1800_ANNUAL2026.xlsx / 默认 / 第255行 / SHA256 c25ed77c53c7c5cfcf728778a0e9b297d8689503f62756a939cbd534ca9b587a</x:v>
      </x:c>
    </x:row>
    <x:row r="931" ht="58" customHeight="1">
      <x:c r="A931" s="23" t="str">
        <x:v>966855344191</x:v>
      </x:c>
      <x:c r="B931" s="22"/>
      <x:c r="C931" s="22"/>
      <x:c r="D931" s="22"/>
      <x:c r="E931" s="9" t="str">
        <x:v>裙长未明确</x:v>
      </x:c>
      <x:c r="F931" s="9" t="str">
        <x:v>裙装</x:v>
      </x:c>
      <x:c r="G931" s="9" t="str">
        <x:v>半身裙</x:v>
      </x:c>
      <x:c r="H931" s="9" t="str">
        <x:v>女</x:v>
      </x:c>
      <x:c r="I931" s="9" t="str">
        <x:v>译依YIYI 精英分子 极简金属扣进口羊皮半裙高腰百搭后开叉皮裙</x:v>
      </x:c>
      <x:c r="J931" s="9" t="str">
        <x:v>YIYITREASURE</x:v>
      </x:c>
      <x:c r="K931" s="24" t="n">
        <x:v>1716.33</x:v>
      </x:c>
      <x:c r="L931" s="25" t="e">
        <x:f>HYPERLINK("https://item.taobao.com/item.htm?id=966855344191","打开商品")</x:f>
        <x:v>HYPERLINK is not implemented. linkLocation=https://item.taobao.com/item.htm?id=966855344191, friendlyName=打开商品</x:v>
      </x:c>
      <x:c r="M931" s="25" t="e">
        <x:f>HYPERLINK("https://data.zhiyitech.cn/itemDetail/overview/base?itemId=966855344191","打开知衣")</x:f>
        <x:v>HYPERLINK is not implemented. linkLocation=https://data.zhiyitech.cn/itemDetail/overview/base?itemId=966855344191, friendlyName=打开知衣</x:v>
      </x:c>
      <x:c r="N931" s="25" t="e">
        <x:f>HYPERLINK("https://img.alicdn.com/bao/uploaded/i1/2212850931264/O1CN01G6WBAogwPbL2R3rs_!!2212850931264.jpg","查看主图")</x:f>
        <x:v>HYPERLINK is not implemented. linkLocation=https://img.alicdn.com/bao/uploaded/i1/2212850931264/O1CN01G6WBAogwPbL2R3rs_!!2212850931264.jpg, friendlyName=查看主图</x:v>
      </x:c>
      <x:c r="O931" s="9" t="str">
        <x:v>标题及既有类目语义复核；译依YIYI 精英分子 极简金属扣进口羊皮半裙高腰百搭后开叉皮裙；原类目及标题已能确认半身裙；展示使用已知大类，未知裙长下沉到结构字段，不强猜长短。</x:v>
      </x:c>
      <x:c r="P931" s="9" t="str">
        <x:v>普通男女装</x:v>
      </x:c>
      <x:c r="Q931" s="9" t="str">
        <x:v>W_SKIRTS_AVGPAID_1700_1800_ANNUAL2026.xlsx</x:v>
      </x:c>
      <x:c r="R931" s="9" t="str">
        <x:v>默认</x:v>
      </x:c>
      <x:c r="S931" s="9" t="n">
        <x:v>31</x:v>
      </x:c>
      <x:c r="T931" s="9" t="str">
        <x:v>c25ed77c53c7c5cfcf728778a0e9b297d8689503f62756a939cbd534ca9b587a</x:v>
      </x:c>
      <x:c r="U931" s="9" t="str">
        <x:v>W_SKIRTS_AVGPAID_1700_1800_ANNUAL2026</x:v>
      </x:c>
      <x:c r="V931" s="9" t="str">
        <x:v>W_SKIRTS_AVGPAID_1700_1800_ANNUAL2026.xlsx / 默认 / 第31行 / SHA256 c25ed77c53c7c5cfcf728778a0e9b297d8689503f62756a939cbd534ca9b587a</x:v>
      </x:c>
    </x:row>
    <x:row r="932" ht="58" customHeight="1">
      <x:c r="A932" s="23" t="str">
        <x:v>1005856302368</x:v>
      </x:c>
      <x:c r="B932" s="22"/>
      <x:c r="C932" s="22"/>
      <x:c r="D932" s="22"/>
      <x:c r="E932" s="9" t="str">
        <x:v>裙长未明确</x:v>
      </x:c>
      <x:c r="F932" s="9" t="str">
        <x:v>裙装</x:v>
      </x:c>
      <x:c r="G932" s="9" t="str">
        <x:v>半身裙</x:v>
      </x:c>
      <x:c r="H932" s="9" t="str">
        <x:v>女</x:v>
      </x:c>
      <x:c r="I932" s="9" t="str">
        <x:v>YOEYYOU 绑结搭片设计感半裙</x:v>
      </x:c>
      <x:c r="J932" s="9" t="str">
        <x:v>YOEYYOU</x:v>
      </x:c>
      <x:c r="K932" s="24" t="n">
        <x:v>1317.69</x:v>
      </x:c>
      <x:c r="L932" s="25" t="e">
        <x:f>HYPERLINK("https://item.taobao.com/item.htm?id=1005856302368","打开商品")</x:f>
        <x:v>HYPERLINK is not implemented. linkLocation=https://item.taobao.com/item.htm?id=1005856302368, friendlyName=打开商品</x:v>
      </x:c>
      <x:c r="M932" s="25" t="e">
        <x:f>HYPERLINK("https://data.zhiyitech.cn/itemDetail/overview/base?itemId=1005856302368","打开知衣")</x:f>
        <x:v>HYPERLINK is not implemented. linkLocation=https://data.zhiyitech.cn/itemDetail/overview/base?itemId=1005856302368, friendlyName=打开知衣</x:v>
      </x:c>
      <x:c r="N932" s="25" t="e">
        <x:f>HYPERLINK("https://img.alicdn.com/bao/uploaded/i4/158221013/O1CN01WByeHdWbo1F2vH2e_!!158221013.jpg","查看主图")</x:f>
        <x:v>HYPERLINK is not implemented. linkLocation=https://img.alicdn.com/bao/uploaded/i4/158221013/O1CN01WByeHdWbo1F2vH2e_!!158221013.jpg, friendlyName=查看主图</x:v>
      </x:c>
      <x:c r="O932" s="9" t="str">
        <x:v>标题及既有类目语义复核；YOEYYOU 绑结搭片设计感半裙；原类目及标题已能确认半身裙；展示使用已知大类，未知裙长下沉到结构字段，不强猜长短。</x:v>
      </x:c>
      <x:c r="P932" s="9" t="str">
        <x:v>普通男女装</x:v>
      </x:c>
      <x:c r="Q932" s="9" t="str">
        <x:v>W_SKIRTS_AVGPAID_1300_1400_ANNUAL2026.xlsx</x:v>
      </x:c>
      <x:c r="R932" s="9" t="str">
        <x:v>默认</x:v>
      </x:c>
      <x:c r="S932" s="9" t="n">
        <x:v>237</x:v>
      </x:c>
      <x:c r="T932" s="9" t="str">
        <x:v>bd4dae1e08e9eca7ddd0669235bf59107cdc418b9c2898fc16f36a7ab5748692</x:v>
      </x:c>
      <x:c r="U932" s="9" t="str">
        <x:v>W_SKIRTS_AVGPAID_1300_1400_ANNUAL2026</x:v>
      </x:c>
      <x:c r="V932" s="9" t="str">
        <x:v>W_SKIRTS_AVGPAID_1300_1400_ANNUAL2026.xlsx / 默认 / 第237行 / SHA256 bd4dae1e08e9eca7ddd0669235bf59107cdc418b9c2898fc16f36a7ab5748692</x:v>
      </x:c>
    </x:row>
    <x:row r="933" ht="58" customHeight="1">
      <x:c r="A933" s="23" t="str">
        <x:v>1006204586432</x:v>
      </x:c>
      <x:c r="B933" s="22"/>
      <x:c r="C933" s="22"/>
      <x:c r="D933" s="22"/>
      <x:c r="E933" s="9" t="str">
        <x:v>裙长未明确</x:v>
      </x:c>
      <x:c r="F933" s="9" t="str">
        <x:v>裙装</x:v>
      </x:c>
      <x:c r="G933" s="9" t="str">
        <x:v>半身裙</x:v>
      </x:c>
      <x:c r="H933" s="9" t="str">
        <x:v>女</x:v>
      </x:c>
      <x:c r="I933" s="9" t="str">
        <x:v>YOEYYOU百搭格纹双层结构伞裙半身裙女款26春新品MISSAS买手店</x:v>
      </x:c>
      <x:c r="J933" s="9" t="str">
        <x:v>YOEYYOU</x:v>
      </x:c>
      <x:c r="K933" s="24" t="n">
        <x:v>1703.54</x:v>
      </x:c>
      <x:c r="L933" s="25" t="e">
        <x:f>HYPERLINK("https://item.taobao.com/item.htm?id=1006204586432","打开商品")</x:f>
        <x:v>HYPERLINK is not implemented. linkLocation=https://item.taobao.com/item.htm?id=1006204586432, friendlyName=打开商品</x:v>
      </x:c>
      <x:c r="M933" s="25" t="e">
        <x:f>HYPERLINK("https://data.zhiyitech.cn/itemDetail/overview/base?itemId=1006204586432","打开知衣")</x:f>
        <x:v>HYPERLINK is not implemented. linkLocation=https://data.zhiyitech.cn/itemDetail/overview/base?itemId=1006204586432, friendlyName=打开知衣</x:v>
      </x:c>
      <x:c r="N933" s="25" t="e">
        <x:f>HYPERLINK("https://img.alicdn.com/bao/uploaded/i2/408775579/O1CN01WvaOEF1r5EnLOzFA9_!!408775579.jpg","查看主图")</x:f>
        <x:v>HYPERLINK is not implemented. linkLocation=https://img.alicdn.com/bao/uploaded/i2/408775579/O1CN01WvaOEF1r5EnLOzFA9_!!408775579.jpg, friendlyName=查看主图</x:v>
      </x:c>
      <x:c r="O933" s="9" t="str">
        <x:v>标题及既有类目语义复核；YOEYYOU百搭格纹双层结构伞裙半身裙女款26春新品MISSAS买手店；原类目及标题已能确认半身裙；展示使用已知大类，未知裙长下沉到结构字段，不强猜长短。</x:v>
      </x:c>
      <x:c r="P933" s="9" t="str">
        <x:v>普通男女装</x:v>
      </x:c>
      <x:c r="Q933" s="9" t="str">
        <x:v>W_SKIRTS_AVGPAID_1700_1800_ANNUAL2026.xlsx</x:v>
      </x:c>
      <x:c r="R933" s="9" t="str">
        <x:v>默认</x:v>
      </x:c>
      <x:c r="S933" s="9" t="n">
        <x:v>426</x:v>
      </x:c>
      <x:c r="T933" s="9" t="str">
        <x:v>c25ed77c53c7c5cfcf728778a0e9b297d8689503f62756a939cbd534ca9b587a</x:v>
      </x:c>
      <x:c r="U933" s="9" t="str">
        <x:v>W_SKIRTS_AVGPAID_1700_1800_ANNUAL2026</x:v>
      </x:c>
      <x:c r="V933" s="9" t="str">
        <x:v>W_SKIRTS_AVGPAID_1700_1800_ANNUAL2026.xlsx / 默认 / 第426行 / SHA256 c25ed77c53c7c5cfcf728778a0e9b297d8689503f62756a939cbd534ca9b587a</x:v>
      </x:c>
    </x:row>
    <x:row r="934" ht="58" customHeight="1">
      <x:c r="A934" s="23" t="str">
        <x:v>1007537030825</x:v>
      </x:c>
      <x:c r="B934" s="22"/>
      <x:c r="C934" s="22"/>
      <x:c r="D934" s="22"/>
      <x:c r="E934" s="9" t="str">
        <x:v>裙长未明确</x:v>
      </x:c>
      <x:c r="F934" s="9" t="str">
        <x:v>裙装</x:v>
      </x:c>
      <x:c r="G934" s="9" t="str">
        <x:v>半身裙</x:v>
      </x:c>
      <x:c r="H934" s="9" t="str">
        <x:v>女</x:v>
      </x:c>
      <x:c r="I934" s="9" t="str">
        <x:v>双层结构伞裙小众设计师品牌</x:v>
      </x:c>
      <x:c r="J934" s="9" t="str">
        <x:v>YOEYYOU</x:v>
      </x:c>
      <x:c r="K934" s="24" t="n">
        <x:v>1761.49</x:v>
      </x:c>
      <x:c r="L934" s="25" t="e">
        <x:f>HYPERLINK("https://item.taobao.com/item.htm?id=1007537030825","打开商品")</x:f>
        <x:v>HYPERLINK is not implemented. linkLocation=https://item.taobao.com/item.htm?id=1007537030825, friendlyName=打开商品</x:v>
      </x:c>
      <x:c r="M934" s="25" t="e">
        <x:f>HYPERLINK("https://data.zhiyitech.cn/itemDetail/overview/base?itemId=1007537030825","打开知衣")</x:f>
        <x:v>HYPERLINK is not implemented. linkLocation=https://data.zhiyitech.cn/itemDetail/overview/base?itemId=1007537030825, friendlyName=打开知衣</x:v>
      </x:c>
      <x:c r="N934" s="25" t="e">
        <x:f>HYPERLINK("https://img.alicdn.com/bao/uploaded/i2/2206409934326/O1CN010fxxZOghQWH1chua_!!2206409934326.jpg","查看主图")</x:f>
        <x:v>HYPERLINK is not implemented. linkLocation=https://img.alicdn.com/bao/uploaded/i2/2206409934326/O1CN010fxxZOghQWH1chua_!!2206409934326.jpg, friendlyName=查看主图</x:v>
      </x:c>
      <x:c r="O934" s="9" t="str">
        <x:v>标题及既有类目语义复核；双层结构伞裙小众设计师品牌；原类目及标题已能确认半身裙；展示使用已知大类，未知裙长下沉到结构字段，不强猜长短。</x:v>
      </x:c>
      <x:c r="P934" s="9" t="str">
        <x:v>普通男女装</x:v>
      </x:c>
      <x:c r="Q934" s="9" t="str">
        <x:v>W_SKIRTS_AVGPAID_1700_1800_ANNUAL2026.xlsx</x:v>
      </x:c>
      <x:c r="R934" s="9" t="str">
        <x:v>默认</x:v>
      </x:c>
      <x:c r="S934" s="9" t="n">
        <x:v>320</x:v>
      </x:c>
      <x:c r="T934" s="9" t="str">
        <x:v>c25ed77c53c7c5cfcf728778a0e9b297d8689503f62756a939cbd534ca9b587a</x:v>
      </x:c>
      <x:c r="U934" s="9" t="str">
        <x:v>W_SKIRTS_AVGPAID_1700_1800_ANNUAL2026</x:v>
      </x:c>
      <x:c r="V934" s="9" t="str">
        <x:v>W_SKIRTS_AVGPAID_1700_1800_ANNUAL2026.xlsx / 默认 / 第320行 / SHA256 c25ed77c53c7c5cfcf728778a0e9b297d8689503f62756a939cbd534ca9b587a</x:v>
      </x:c>
    </x:row>
    <x:row r="935" ht="58" customHeight="1">
      <x:c r="A935" s="23" t="str">
        <x:v>1025831678517</x:v>
      </x:c>
      <x:c r="B935" s="22"/>
      <x:c r="C935" s="22"/>
      <x:c r="D935" s="22"/>
      <x:c r="E935" s="9" t="str">
        <x:v>裙长未明确</x:v>
      </x:c>
      <x:c r="F935" s="9" t="str">
        <x:v>裙装</x:v>
      </x:c>
      <x:c r="G935" s="9" t="str">
        <x:v>半身裙</x:v>
      </x:c>
      <x:c r="H935" s="9" t="str">
        <x:v>女</x:v>
      </x:c>
      <x:c r="I935" s="9" t="str">
        <x:v>绑结搭片半裙小众设计师品牌</x:v>
      </x:c>
      <x:c r="J935" s="9" t="str">
        <x:v>YOEYYOU</x:v>
      </x:c>
      <x:c r="K935" s="24" t="n">
        <x:v>1314.65</x:v>
      </x:c>
      <x:c r="L935" s="25" t="e">
        <x:f>HYPERLINK("https://item.taobao.com/item.htm?id=1025831678517","打开商品")</x:f>
        <x:v>HYPERLINK is not implemented. linkLocation=https://item.taobao.com/item.htm?id=1025831678517, friendlyName=打开商品</x:v>
      </x:c>
      <x:c r="M935" s="25" t="e">
        <x:f>HYPERLINK("https://data.zhiyitech.cn/itemDetail/overview/base?itemId=1025831678517","打开知衣")</x:f>
        <x:v>HYPERLINK is not implemented. linkLocation=https://data.zhiyitech.cn/itemDetail/overview/base?itemId=1025831678517, friendlyName=打开知衣</x:v>
      </x:c>
      <x:c r="N935" s="25" t="e">
        <x:f>HYPERLINK("https://img.alicdn.com/bao/uploaded/i4/2206409934326/O1CN017i2hmpqzTaC1chua_!!4611686018427381238-0-item_pic.jpg","查看主图")</x:f>
        <x:v>HYPERLINK is not implemented. linkLocation=https://img.alicdn.com/bao/uploaded/i4/2206409934326/O1CN017i2hmpqzTaC1chua_!!4611686018427381238-0-item_pic.jpg, friendlyName=查看主图</x:v>
      </x:c>
      <x:c r="O935" s="9" t="str">
        <x:v>标题及既有类目语义复核；绑结搭片半裙小众设计师品牌；原类目及标题已能确认半身裙；展示使用已知大类，未知裙长下沉到结构字段，不强猜长短。</x:v>
      </x:c>
      <x:c r="P935" s="9" t="str">
        <x:v>普通男女装</x:v>
      </x:c>
      <x:c r="Q935" s="9" t="str">
        <x:v>W_SKIRTS_AVGPAID_1300_1400_ANNUAL2026.xlsx</x:v>
      </x:c>
      <x:c r="R935" s="9" t="str">
        <x:v>默认</x:v>
      </x:c>
      <x:c r="S935" s="9" t="n">
        <x:v>249</x:v>
      </x:c>
      <x:c r="T935" s="9" t="str">
        <x:v>bd4dae1e08e9eca7ddd0669235bf59107cdc418b9c2898fc16f36a7ab5748692</x:v>
      </x:c>
      <x:c r="U935" s="9" t="str">
        <x:v>W_SKIRTS_AVGPAID_1300_1400_ANNUAL2026</x:v>
      </x:c>
      <x:c r="V935" s="9" t="str">
        <x:v>W_SKIRTS_AVGPAID_1300_1400_ANNUAL2026.xlsx / 默认 / 第249行 / SHA256 bd4dae1e08e9eca7ddd0669235bf59107cdc418b9c2898fc16f36a7ab5748692</x:v>
      </x:c>
    </x:row>
    <x:row r="936" ht="58" customHeight="1">
      <x:c r="A936" s="23" t="str">
        <x:v>1053585741310</x:v>
      </x:c>
      <x:c r="B936" s="22"/>
      <x:c r="C936" s="22"/>
      <x:c r="D936" s="22"/>
      <x:c r="E936" s="9" t="str">
        <x:v>裙长未明确</x:v>
      </x:c>
      <x:c r="F936" s="9" t="str">
        <x:v>裙装</x:v>
      </x:c>
      <x:c r="G936" s="9" t="str">
        <x:v>半身裙</x:v>
      </x:c>
      <x:c r="H936" s="9" t="str">
        <x:v>女</x:v>
      </x:c>
      <x:c r="I936" s="9" t="str">
        <x:v>YOEYYOU毛边超长牛仔半裙锥形裤</x:v>
      </x:c>
      <x:c r="J936" s="9" t="str">
        <x:v>YOEYYOU</x:v>
      </x:c>
      <x:c r="K936" s="24" t="n">
        <x:v>1759.95</x:v>
      </x:c>
      <x:c r="L936" s="25" t="e">
        <x:f>HYPERLINK("https://item.taobao.com/item.htm?id=1053585741310","打开商品")</x:f>
        <x:v>HYPERLINK is not implemented. linkLocation=https://item.taobao.com/item.htm?id=1053585741310, friendlyName=打开商品</x:v>
      </x:c>
      <x:c r="M936" s="25" t="e">
        <x:f>HYPERLINK("https://data.zhiyitech.cn/itemDetail/overview/base?itemId=1053585741310","打开知衣")</x:f>
        <x:v>HYPERLINK is not implemented. linkLocation=https://data.zhiyitech.cn/itemDetail/overview/base?itemId=1053585741310, friendlyName=打开知衣</x:v>
      </x:c>
      <x:c r="N936" s="25" t="e">
        <x:f>HYPERLINK("https://img.alicdn.com/bao/uploaded/i4/408775579/O1CN01RxPljyMG3AF2vH2e_!!408775579.jpg","查看主图")</x:f>
        <x:v>HYPERLINK is not implemented. linkLocation=https://img.alicdn.com/bao/uploaded/i4/408775579/O1CN01RxPljyMG3AF2vH2e_!!408775579.jpg, friendlyName=查看主图</x:v>
      </x:c>
      <x:c r="O936" s="9" t="str">
        <x:v>标题及既有类目语义复核；YOEYYOU毛边超长牛仔半裙锥形裤；原类目及标题已能确认半身裙；展示使用已知大类，未知裙长下沉到结构字段，不强猜长短。</x:v>
      </x:c>
      <x:c r="P936" s="9" t="str">
        <x:v>普通男女装</x:v>
      </x:c>
      <x:c r="Q936" s="9" t="str">
        <x:v>W_SKIRTS_AVGPAID_1700_1800_ANNUAL2026.xlsx</x:v>
      </x:c>
      <x:c r="R936" s="9" t="str">
        <x:v>默认</x:v>
      </x:c>
      <x:c r="S936" s="9" t="n">
        <x:v>322</x:v>
      </x:c>
      <x:c r="T936" s="9" t="str">
        <x:v>c25ed77c53c7c5cfcf728778a0e9b297d8689503f62756a939cbd534ca9b587a</x:v>
      </x:c>
      <x:c r="U936" s="9" t="str">
        <x:v>W_SKIRTS_AVGPAID_1700_1800_ANNUAL2026</x:v>
      </x:c>
      <x:c r="V936" s="9" t="str">
        <x:v>W_SKIRTS_AVGPAID_1700_1800_ANNUAL2026.xlsx / 默认 / 第322行 / SHA256 c25ed77c53c7c5cfcf728778a0e9b297d8689503f62756a939cbd534ca9b587a</x:v>
      </x:c>
    </x:row>
    <x:row r="937" ht="58" customHeight="1">
      <x:c r="A937" s="23" t="str">
        <x:v>761678219394</x:v>
      </x:c>
      <x:c r="B937" s="22"/>
      <x:c r="C937" s="22"/>
      <x:c r="D937" s="22"/>
      <x:c r="E937" s="9" t="str">
        <x:v>裙长未明确</x:v>
      </x:c>
      <x:c r="F937" s="9" t="str">
        <x:v>裙装</x:v>
      </x:c>
      <x:c r="G937" s="9" t="str">
        <x:v>半身裙</x:v>
      </x:c>
      <x:c r="H937" s="9" t="str">
        <x:v>女</x:v>
      </x:c>
      <x:c r="I937" s="9" t="str">
        <x:v>YOEYYOU叠褶小廓型直筒裙春夏款设计师分割毛边前开叉直筒半身裙</x:v>
      </x:c>
      <x:c r="J937" s="9" t="str">
        <x:v>YOEYYOU</x:v>
      </x:c>
      <x:c r="K937" s="24" t="n">
        <x:v>1550.24</x:v>
      </x:c>
      <x:c r="L937" s="25" t="e">
        <x:f>HYPERLINK("https://item.taobao.com/item.htm?id=761678219394","打开商品")</x:f>
        <x:v>HYPERLINK is not implemented. linkLocation=https://item.taobao.com/item.htm?id=761678219394, friendlyName=打开商品</x:v>
      </x:c>
      <x:c r="M937" s="25" t="e">
        <x:f>HYPERLINK("https://data.zhiyitech.cn/itemDetail/overview/base?itemId=761678219394","打开知衣")</x:f>
        <x:v>HYPERLINK is not implemented. linkLocation=https://data.zhiyitech.cn/itemDetail/overview/base?itemId=761678219394, friendlyName=打开知衣</x:v>
      </x:c>
      <x:c r="N937" s="25" t="e">
        <x:f>HYPERLINK("https://img.alicdn.com/bao/uploaded/i3/2206409934326/O1CN01ZCUYHIGvyJF1chua_!!2206409934326.jpg","查看主图")</x:f>
        <x:v>HYPERLINK is not implemented. linkLocation=https://img.alicdn.com/bao/uploaded/i3/2206409934326/O1CN01ZCUYHIGvyJF1chua_!!2206409934326.jpg, friendlyName=查看主图</x:v>
      </x:c>
      <x:c r="O937" s="9" t="str">
        <x:v>标题及既有类目语义复核；YOEYYOU叠褶小廓型直筒裙春夏款设计师分割毛边前开叉直筒半身裙；原类目及标题已能确认半身裙；展示使用已知大类，未知裙长下沉到结构字段，不强猜长短。</x:v>
      </x:c>
      <x:c r="P937" s="9" t="str">
        <x:v>普通男女装</x:v>
      </x:c>
      <x:c r="Q937" s="9" t="str">
        <x:v>W_SKIRTS_AVGPAID_1500_1600_ANNUAL2026.xlsx</x:v>
      </x:c>
      <x:c r="R937" s="9" t="str">
        <x:v>默认</x:v>
      </x:c>
      <x:c r="S937" s="9" t="n">
        <x:v>298</x:v>
      </x:c>
      <x:c r="T937" s="9" t="str">
        <x:v>deede8b56943df4f914be45dba170f12e69064023d6ef0e88dbde1764f6ba23e</x:v>
      </x:c>
      <x:c r="U937" s="9" t="str">
        <x:v>W_SKIRTS_AVGPAID_1500_1600_ANNUAL2026</x:v>
      </x:c>
      <x:c r="V937" s="9" t="str">
        <x:v>W_SKIRTS_AVGPAID_1500_1600_ANNUAL2026.xlsx / 默认 / 第298行 / SHA256 deede8b56943df4f914be45dba170f12e69064023d6ef0e88dbde1764f6ba23e</x:v>
      </x:c>
    </x:row>
    <x:row r="938" ht="58" customHeight="1">
      <x:c r="A938" s="23" t="str">
        <x:v>830907162270</x:v>
      </x:c>
      <x:c r="B938" s="22"/>
      <x:c r="C938" s="22"/>
      <x:c r="D938" s="22"/>
      <x:c r="E938" s="9" t="str">
        <x:v>裙长未明确</x:v>
      </x:c>
      <x:c r="F938" s="9" t="str">
        <x:v>裙装</x:v>
      </x:c>
      <x:c r="G938" s="9" t="str">
        <x:v>半身裙</x:v>
      </x:c>
      <x:c r="H938" s="9" t="str">
        <x:v>女</x:v>
      </x:c>
      <x:c r="I938" s="9" t="str">
        <x:v>工字褶短半裙小众设计师品牌</x:v>
      </x:c>
      <x:c r="J938" s="9" t="str">
        <x:v>YOEYYOU</x:v>
      </x:c>
      <x:c r="K938" s="24" t="n">
        <x:v>1578.76</x:v>
      </x:c>
      <x:c r="L938" s="25" t="e">
        <x:f>HYPERLINK("https://item.taobao.com/item.htm?id=830907162270","打开商品")</x:f>
        <x:v>HYPERLINK is not implemented. linkLocation=https://item.taobao.com/item.htm?id=830907162270, friendlyName=打开商品</x:v>
      </x:c>
      <x:c r="M938" s="25" t="e">
        <x:f>HYPERLINK("https://data.zhiyitech.cn/itemDetail/overview/base?itemId=830907162270","打开知衣")</x:f>
        <x:v>HYPERLINK is not implemented. linkLocation=https://data.zhiyitech.cn/itemDetail/overview/base?itemId=830907162270, friendlyName=打开知衣</x:v>
      </x:c>
      <x:c r="N938" s="25" t="e">
        <x:f>HYPERLINK("https://img.alicdn.com/bao/uploaded/i4/2206409934326/O1CN01zDuHk7PmdFI1chua_!!2206409934326.jpg","查看主图")</x:f>
        <x:v>HYPERLINK is not implemented. linkLocation=https://img.alicdn.com/bao/uploaded/i4/2206409934326/O1CN01zDuHk7PmdFI1chua_!!2206409934326.jpg, friendlyName=查看主图</x:v>
      </x:c>
      <x:c r="O938" s="9" t="str">
        <x:v>标题及既有类目语义复核；工字褶短半裙小众设计师品牌；原类目及标题已能确认半身裙；展示使用已知大类，未知裙长下沉到结构字段，不强猜长短。</x:v>
      </x:c>
      <x:c r="P938" s="9" t="str">
        <x:v>普通男女装</x:v>
      </x:c>
      <x:c r="Q938" s="9" t="str">
        <x:v>W_SKIRTS_AVGPAID_1500_1600_ANNUAL2026.xlsx</x:v>
      </x:c>
      <x:c r="R938" s="9" t="str">
        <x:v>默认</x:v>
      </x:c>
      <x:c r="S938" s="9" t="n">
        <x:v>313</x:v>
      </x:c>
      <x:c r="T938" s="9" t="str">
        <x:v>deede8b56943df4f914be45dba170f12e69064023d6ef0e88dbde1764f6ba23e</x:v>
      </x:c>
      <x:c r="U938" s="9" t="str">
        <x:v>W_SKIRTS_AVGPAID_1500_1600_ANNUAL2026</x:v>
      </x:c>
      <x:c r="V938" s="9" t="str">
        <x:v>W_SKIRTS_AVGPAID_1500_1600_ANNUAL2026.xlsx / 默认 / 第313行 / SHA256 deede8b56943df4f914be45dba170f12e69064023d6ef0e88dbde1764f6ba23e</x:v>
      </x:c>
    </x:row>
    <x:row r="939" ht="58" customHeight="1">
      <x:c r="A939" s="23" t="str">
        <x:v>978316519806</x:v>
      </x:c>
      <x:c r="B939" s="22"/>
      <x:c r="C939" s="22"/>
      <x:c r="D939" s="22"/>
      <x:c r="E939" s="9" t="str">
        <x:v>裙长未明确</x:v>
      </x:c>
      <x:c r="F939" s="9" t="str">
        <x:v>裙装</x:v>
      </x:c>
      <x:c r="G939" s="9" t="str">
        <x:v>半身裙</x:v>
      </x:c>
      <x:c r="H939" s="9" t="str">
        <x:v>女</x:v>
      </x:c>
      <x:c r="I939" s="9" t="str">
        <x:v>YOEYYOU翻折腰头直身半裙秋季新款简约撞色毛边设计半身裙女</x:v>
      </x:c>
      <x:c r="J939" s="9" t="str">
        <x:v>YOEYYOU</x:v>
      </x:c>
      <x:c r="K939" s="24" t="n">
        <x:v>1391.25</x:v>
      </x:c>
      <x:c r="L939" s="25" t="e">
        <x:f>HYPERLINK("https://item.taobao.com/item.htm?id=978316519806","打开商品")</x:f>
        <x:v>HYPERLINK is not implemented. linkLocation=https://item.taobao.com/item.htm?id=978316519806, friendlyName=打开商品</x:v>
      </x:c>
      <x:c r="M939" s="25" t="e">
        <x:f>HYPERLINK("https://data.zhiyitech.cn/itemDetail/overview/base?itemId=978316519806","打开知衣")</x:f>
        <x:v>HYPERLINK is not implemented. linkLocation=https://data.zhiyitech.cn/itemDetail/overview/base?itemId=978316519806, friendlyName=打开知衣</x:v>
      </x:c>
      <x:c r="N939" s="25" t="e">
        <x:f>HYPERLINK("https://img.alicdn.com/bao/uploaded/i1/2206409934326/O1CN01BIjRcthurJK1chua_!!2206409934326.jpg","查看主图")</x:f>
        <x:v>HYPERLINK is not implemented. linkLocation=https://img.alicdn.com/bao/uploaded/i1/2206409934326/O1CN01BIjRcthurJK1chua_!!2206409934326.jpg, friendlyName=查看主图</x:v>
      </x:c>
      <x:c r="O939" s="9" t="str">
        <x:v>标题及既有类目语义复核；YOEYYOU翻折腰头直身半裙秋季新款简约撞色毛边设计半身裙女；原类目及标题已能确认半身裙；展示使用已知大类，未知裙长下沉到结构字段，不强猜长短。</x:v>
      </x:c>
      <x:c r="P939" s="9" t="str">
        <x:v>普通男女装</x:v>
      </x:c>
      <x:c r="Q939" s="9" t="str">
        <x:v>W_SKIRTS_AVGPAID_1300_1400_ANNUAL2026.xlsx</x:v>
      </x:c>
      <x:c r="R939" s="9" t="str">
        <x:v>默认</x:v>
      </x:c>
      <x:c r="S939" s="9" t="n">
        <x:v>397</x:v>
      </x:c>
      <x:c r="T939" s="9" t="str">
        <x:v>bd4dae1e08e9eca7ddd0669235bf59107cdc418b9c2898fc16f36a7ab5748692</x:v>
      </x:c>
      <x:c r="U939" s="9" t="str">
        <x:v>W_SKIRTS_AVGPAID_1300_1400_ANNUAL2026</x:v>
      </x:c>
      <x:c r="V939" s="9" t="str">
        <x:v>W_SKIRTS_AVGPAID_1300_1400_ANNUAL2026.xlsx / 默认 / 第397行 / SHA256 bd4dae1e08e9eca7ddd0669235bf59107cdc418b9c2898fc16f36a7ab5748692</x:v>
      </x:c>
    </x:row>
    <x:row r="940" ht="58" customHeight="1">
      <x:c r="A940" s="23" t="str">
        <x:v>982385615901</x:v>
      </x:c>
      <x:c r="B940" s="22"/>
      <x:c r="C940" s="22"/>
      <x:c r="D940" s="22"/>
      <x:c r="E940" s="9" t="str">
        <x:v>裙长未明确</x:v>
      </x:c>
      <x:c r="F940" s="9" t="str">
        <x:v>裙装</x:v>
      </x:c>
      <x:c r="G940" s="9" t="str">
        <x:v>半身裙</x:v>
      </x:c>
      <x:c r="H940" s="9" t="str">
        <x:v>女</x:v>
      </x:c>
      <x:c r="I940" s="9" t="str">
        <x:v>YOEYYOU提花直身毛织半裙秋冬新款复古彩色费尔岛绵羊毛半身裙</x:v>
      </x:c>
      <x:c r="J940" s="9" t="str">
        <x:v>YOEYYOU</x:v>
      </x:c>
      <x:c r="K940" s="24" t="n">
        <x:v>1710.81</x:v>
      </x:c>
      <x:c r="L940" s="25" t="e">
        <x:f>HYPERLINK("https://item.taobao.com/item.htm?id=982385615901","打开商品")</x:f>
        <x:v>HYPERLINK is not implemented. linkLocation=https://item.taobao.com/item.htm?id=982385615901, friendlyName=打开商品</x:v>
      </x:c>
      <x:c r="M940" s="25" t="e">
        <x:f>HYPERLINK("https://data.zhiyitech.cn/itemDetail/overview/base?itemId=982385615901","打开知衣")</x:f>
        <x:v>HYPERLINK is not implemented. linkLocation=https://data.zhiyitech.cn/itemDetail/overview/base?itemId=982385615901, friendlyName=打开知衣</x:v>
      </x:c>
      <x:c r="N940" s="25" t="e">
        <x:f>HYPERLINK("https://img.alicdn.com/bao/uploaded/i3/2206409934326/O1CN01Q2pRihR7oZB1chua_!!2206409934326.jpg","查看主图")</x:f>
        <x:v>HYPERLINK is not implemented. linkLocation=https://img.alicdn.com/bao/uploaded/i3/2206409934326/O1CN01Q2pRihR7oZB1chua_!!2206409934326.jpg, friendlyName=查看主图</x:v>
      </x:c>
      <x:c r="O940" s="9" t="str">
        <x:v>标题及既有类目语义复核；YOEYYOU提花直身毛织半裙秋冬新款复古彩色费尔岛绵羊毛半身裙；原类目及标题已能确认半身裙；展示使用已知大类，未知裙长下沉到结构字段，不强猜长短。</x:v>
      </x:c>
      <x:c r="P940" s="9" t="str">
        <x:v>普通男女装</x:v>
      </x:c>
      <x:c r="Q940" s="9" t="str">
        <x:v>W_SKIRTS_AVGPAID_1700_1800_ANNUAL2026.xlsx</x:v>
      </x:c>
      <x:c r="R940" s="9" t="str">
        <x:v>默认</x:v>
      </x:c>
      <x:c r="S940" s="9" t="n">
        <x:v>280</x:v>
      </x:c>
      <x:c r="T940" s="9" t="str">
        <x:v>c25ed77c53c7c5cfcf728778a0e9b297d8689503f62756a939cbd534ca9b587a</x:v>
      </x:c>
      <x:c r="U940" s="9" t="str">
        <x:v>W_SKIRTS_AVGPAID_1700_1800_ANNUAL2026</x:v>
      </x:c>
      <x:c r="V940" s="9" t="str">
        <x:v>W_SKIRTS_AVGPAID_1700_1800_ANNUAL2026.xlsx / 默认 / 第280行 / SHA256 c25ed77c53c7c5cfcf728778a0e9b297d8689503f62756a939cbd534ca9b587a</x:v>
      </x:c>
    </x:row>
    <x:row r="941" ht="58" customHeight="1">
      <x:c r="A941" s="23" t="str">
        <x:v>982938994802</x:v>
      </x:c>
      <x:c r="B941" s="22"/>
      <x:c r="C941" s="22"/>
      <x:c r="D941" s="22"/>
      <x:c r="E941" s="9" t="str">
        <x:v>裙长未明确</x:v>
      </x:c>
      <x:c r="F941" s="9" t="str">
        <x:v>裙装</x:v>
      </x:c>
      <x:c r="G941" s="9" t="str">
        <x:v>半身裙</x:v>
      </x:c>
      <x:c r="H941" s="9" t="str">
        <x:v>女</x:v>
      </x:c>
      <x:c r="I941" s="9" t="str">
        <x:v>YOEYYOU不对称格纹半裙秋冬新款设计款肌理绒感毛须边半身裙</x:v>
      </x:c>
      <x:c r="J941" s="9" t="str">
        <x:v>YOEYYOU</x:v>
      </x:c>
      <x:c r="K941" s="24" t="n">
        <x:v>1702.44</x:v>
      </x:c>
      <x:c r="L941" s="25" t="e">
        <x:f>HYPERLINK("https://item.taobao.com/item.htm?id=982938994802","打开商品")</x:f>
        <x:v>HYPERLINK is not implemented. linkLocation=https://item.taobao.com/item.htm?id=982938994802, friendlyName=打开商品</x:v>
      </x:c>
      <x:c r="M941" s="25" t="e">
        <x:f>HYPERLINK("https://data.zhiyitech.cn/itemDetail/overview/base?itemId=982938994802","打开知衣")</x:f>
        <x:v>HYPERLINK is not implemented. linkLocation=https://data.zhiyitech.cn/itemDetail/overview/base?itemId=982938994802, friendlyName=打开知衣</x:v>
      </x:c>
      <x:c r="N941" s="25" t="e">
        <x:f>HYPERLINK("https://img.alicdn.com/bao/uploaded/i3/2206409934326/O1CN01u6Md3HQNpMF1chua_!!2206409934326.jpg","查看主图")</x:f>
        <x:v>HYPERLINK is not implemented. linkLocation=https://img.alicdn.com/bao/uploaded/i3/2206409934326/O1CN01u6Md3HQNpMF1chua_!!2206409934326.jpg, friendlyName=查看主图</x:v>
      </x:c>
      <x:c r="O941" s="9" t="str">
        <x:v>标题及既有类目语义复核；YOEYYOU不对称格纹半裙秋冬新款设计款肌理绒感毛须边半身裙；原类目及标题已能确认半身裙；展示使用已知大类，未知裙长下沉到结构字段，不强猜长短。</x:v>
      </x:c>
      <x:c r="P941" s="9" t="str">
        <x:v>普通男女装</x:v>
      </x:c>
      <x:c r="Q941" s="9" t="str">
        <x:v>W_SKIRTS_AVGPAID_1700_1800_ANNUAL2026.xlsx</x:v>
      </x:c>
      <x:c r="R941" s="9" t="str">
        <x:v>默认</x:v>
      </x:c>
      <x:c r="S941" s="9" t="n">
        <x:v>47</x:v>
      </x:c>
      <x:c r="T941" s="9" t="str">
        <x:v>c25ed77c53c7c5cfcf728778a0e9b297d8689503f62756a939cbd534ca9b587a</x:v>
      </x:c>
      <x:c r="U941" s="9" t="str">
        <x:v>W_SKIRTS_AVGPAID_1700_1800_ANNUAL2026</x:v>
      </x:c>
      <x:c r="V941" s="9" t="str">
        <x:v>W_SKIRTS_AVGPAID_1700_1800_ANNUAL2026.xlsx / 默认 / 第47行 / SHA256 c25ed77c53c7c5cfcf728778a0e9b297d8689503f62756a939cbd534ca9b587a</x:v>
      </x:c>
    </x:row>
    <x:row r="942" ht="58" customHeight="1">
      <x:c r="A942" s="23" t="str">
        <x:v>983132575951</x:v>
      </x:c>
      <x:c r="B942" s="22"/>
      <x:c r="C942" s="22"/>
      <x:c r="D942" s="22"/>
      <x:c r="E942" s="9" t="str">
        <x:v>裙长未明确</x:v>
      </x:c>
      <x:c r="F942" s="9" t="str">
        <x:v>裙装</x:v>
      </x:c>
      <x:c r="G942" s="9" t="str">
        <x:v>半身裙</x:v>
      </x:c>
      <x:c r="H942" s="9" t="str">
        <x:v>女</x:v>
      </x:c>
      <x:c r="I942" s="9" t="str">
        <x:v>YOEYYOU 设计师品牌25秋冬新品纯棉翻折直身半裙SOLSOL买手店</x:v>
      </x:c>
      <x:c r="J942" s="9" t="str">
        <x:v>YOEYYOU</x:v>
      </x:c>
      <x:c r="K942" s="24" t="n">
        <x:v>1529.47</x:v>
      </x:c>
      <x:c r="L942" s="25" t="e">
        <x:f>HYPERLINK("https://item.taobao.com/item.htm?id=983132575951","打开商品")</x:f>
        <x:v>HYPERLINK is not implemented. linkLocation=https://item.taobao.com/item.htm?id=983132575951, friendlyName=打开商品</x:v>
      </x:c>
      <x:c r="M942" s="25" t="e">
        <x:f>HYPERLINK("https://data.zhiyitech.cn/itemDetail/overview/base?itemId=983132575951","打开知衣")</x:f>
        <x:v>HYPERLINK is not implemented. linkLocation=https://data.zhiyitech.cn/itemDetail/overview/base?itemId=983132575951, friendlyName=打开知衣</x:v>
      </x:c>
      <x:c r="N942" s="25" t="e">
        <x:f>HYPERLINK("https://img.alicdn.com/bao/uploaded/i2/158221013/O1CN01LkvVxo1JM0JM9RhQw_!!158221013.jpg","查看主图")</x:f>
        <x:v>HYPERLINK is not implemented. linkLocation=https://img.alicdn.com/bao/uploaded/i2/158221013/O1CN01LkvVxo1JM0JM9RhQw_!!158221013.jpg, friendlyName=查看主图</x:v>
      </x:c>
      <x:c r="O942" s="9" t="str">
        <x:v>标题及既有类目语义复核；YOEYYOU 设计师品牌25秋冬新品纯棉翻折直身半裙SOLSOL买手店；原类目及标题已能确认半身裙；展示使用已知大类，未知裙长下沉到结构字段，不强猜长短。</x:v>
      </x:c>
      <x:c r="P942" s="9" t="str">
        <x:v>普通男女装</x:v>
      </x:c>
      <x:c r="Q942" s="9" t="str">
        <x:v>W_SKIRTS_AVGPAID_1500_1600_ANNUAL2026.xlsx</x:v>
      </x:c>
      <x:c r="R942" s="9" t="str">
        <x:v>默认</x:v>
      </x:c>
      <x:c r="S942" s="9" t="n">
        <x:v>352</x:v>
      </x:c>
      <x:c r="T942" s="9" t="str">
        <x:v>deede8b56943df4f914be45dba170f12e69064023d6ef0e88dbde1764f6ba23e</x:v>
      </x:c>
      <x:c r="U942" s="9" t="str">
        <x:v>W_SKIRTS_AVGPAID_1500_1600_ANNUAL2026</x:v>
      </x:c>
      <x:c r="V942" s="9" t="str">
        <x:v>W_SKIRTS_AVGPAID_1500_1600_ANNUAL2026.xlsx / 默认 / 第352行 / SHA256 deede8b56943df4f914be45dba170f12e69064023d6ef0e88dbde1764f6ba23e</x:v>
      </x:c>
    </x:row>
    <x:row r="943" ht="58" customHeight="1">
      <x:c r="A943" s="23" t="str">
        <x:v>1043022560640</x:v>
      </x:c>
      <x:c r="B943" s="22"/>
      <x:c r="C943" s="22"/>
      <x:c r="D943" s="22"/>
      <x:c r="E943" s="9" t="str">
        <x:v>裙长未明确</x:v>
      </x:c>
      <x:c r="F943" s="9" t="str">
        <x:v>裙装</x:v>
      </x:c>
      <x:c r="G943" s="9" t="str">
        <x:v>半身裙</x:v>
      </x:c>
      <x:c r="H943" s="9" t="str">
        <x:v>女</x:v>
      </x:c>
      <x:c r="I943" s="9" t="str">
        <x:v>YUELXIANG设计师2026秋冬新款原创简约不对称旋转缝鱼尾针织半裙</x:v>
      </x:c>
      <x:c r="J943" s="9" t="str">
        <x:v>YUEL XIANG</x:v>
      </x:c>
      <x:c r="K943" s="24" t="n">
        <x:v>1584.12</x:v>
      </x:c>
      <x:c r="L943" s="25" t="e">
        <x:f>HYPERLINK("https://item.taobao.com/item.htm?id=1043022560640","打开商品")</x:f>
        <x:v>HYPERLINK is not implemented. linkLocation=https://item.taobao.com/item.htm?id=1043022560640, friendlyName=打开商品</x:v>
      </x:c>
      <x:c r="M943" s="25" t="e">
        <x:f>HYPERLINK("https://data.zhiyitech.cn/itemDetail/overview/base?itemId=1043022560640","打开知衣")</x:f>
        <x:v>HYPERLINK is not implemented. linkLocation=https://data.zhiyitech.cn/itemDetail/overview/base?itemId=1043022560640, friendlyName=打开知衣</x:v>
      </x:c>
      <x:c r="N943" s="25" t="e">
        <x:f>HYPERLINK("https://img.alicdn.com/bao/uploaded/i3/654030825/O1CN01IO5DjK1Hxtt0SkOuF_!!654030825.png","查看主图")</x:f>
        <x:v>HYPERLINK is not implemented. linkLocation=https://img.alicdn.com/bao/uploaded/i3/654030825/O1CN01IO5DjK1Hxtt0SkOuF_!!654030825.png, friendlyName=查看主图</x:v>
      </x:c>
      <x:c r="O943" s="9" t="str">
        <x:v>标题及既有类目语义复核；YUELXIANG设计师2026秋冬新款原创简约不对称旋转缝鱼尾针织半裙；原类目及标题已能确认半身裙；展示使用已知大类，未知裙长下沉到结构字段，不强猜长短。</x:v>
      </x:c>
      <x:c r="P943" s="9" t="str">
        <x:v>普通男女装</x:v>
      </x:c>
      <x:c r="Q943" s="9" t="str">
        <x:v>W_SKIRTS_AVGPAID_1500_1600_ANNUAL2026.xlsx</x:v>
      </x:c>
      <x:c r="R943" s="9" t="str">
        <x:v>默认</x:v>
      </x:c>
      <x:c r="S943" s="9" t="n">
        <x:v>266</x:v>
      </x:c>
      <x:c r="T943" s="9" t="str">
        <x:v>deede8b56943df4f914be45dba170f12e69064023d6ef0e88dbde1764f6ba23e</x:v>
      </x:c>
      <x:c r="U943" s="9" t="str">
        <x:v>W_SKIRTS_AVGPAID_1500_1600_ANNUAL2026</x:v>
      </x:c>
      <x:c r="V943" s="9" t="str">
        <x:v>W_SKIRTS_AVGPAID_1500_1600_ANNUAL2026.xlsx / 默认 / 第266行 / SHA256 deede8b56943df4f914be45dba170f12e69064023d6ef0e88dbde1764f6ba23e</x:v>
      </x:c>
    </x:row>
    <x:row r="944" ht="58" customHeight="1">
      <x:c r="A944" s="23" t="str">
        <x:v>691853220374</x:v>
      </x:c>
      <x:c r="B944" s="22"/>
      <x:c r="C944" s="22"/>
      <x:c r="D944" s="22"/>
      <x:c r="E944" s="9" t="str">
        <x:v>裙长未明确</x:v>
      </x:c>
      <x:c r="F944" s="9" t="str">
        <x:v>裙装</x:v>
      </x:c>
      <x:c r="G944" s="9" t="str">
        <x:v>半身裙</x:v>
      </x:c>
      <x:c r="H944" s="9" t="str">
        <x:v>女</x:v>
      </x:c>
      <x:c r="I944" s="9" t="str">
        <x:v>YUELXIANG设计师品牌2026秋冬新款原创简约宽松百搭抽绳气球半裙</x:v>
      </x:c>
      <x:c r="J944" s="9" t="str">
        <x:v>YUEL XIANG</x:v>
      </x:c>
      <x:c r="K944" s="24" t="n">
        <x:v>1315.19</x:v>
      </x:c>
      <x:c r="L944" s="25" t="e">
        <x:f>HYPERLINK("https://item.taobao.com/item.htm?id=691853220374","打开商品")</x:f>
        <x:v>HYPERLINK is not implemented. linkLocation=https://item.taobao.com/item.htm?id=691853220374, friendlyName=打开商品</x:v>
      </x:c>
      <x:c r="M944" s="25" t="e">
        <x:f>HYPERLINK("https://data.zhiyitech.cn/itemDetail/overview/base?itemId=691853220374","打开知衣")</x:f>
        <x:v>HYPERLINK is not implemented. linkLocation=https://data.zhiyitech.cn/itemDetail/overview/base?itemId=691853220374, friendlyName=打开知衣</x:v>
      </x:c>
      <x:c r="N944" s="25" t="e">
        <x:f>HYPERLINK("https://img.alicdn.com/bao/uploaded/i1/654030825/O1CN01kvypXk1HxtY41dssv_!!654030825.jpg","查看主图")</x:f>
        <x:v>HYPERLINK is not implemented. linkLocation=https://img.alicdn.com/bao/uploaded/i1/654030825/O1CN01kvypXk1HxtY41dssv_!!654030825.jpg, friendlyName=查看主图</x:v>
      </x:c>
      <x:c r="O944" s="9" t="str">
        <x:v>标题及既有类目语义复核；YUELXIANG设计师品牌2026秋冬新款原创简约宽松百搭抽绳气球半裙；原类目及标题已能确认半身裙；展示使用已知大类，未知裙长下沉到结构字段，不强猜长短。</x:v>
      </x:c>
      <x:c r="P944" s="9" t="str">
        <x:v>普通男女装</x:v>
      </x:c>
      <x:c r="Q944" s="9" t="str">
        <x:v>W_SKIRTS_AVGPAID_1300_1400_ANNUAL2026.xlsx</x:v>
      </x:c>
      <x:c r="R944" s="9" t="str">
        <x:v>默认</x:v>
      </x:c>
      <x:c r="S944" s="9" t="n">
        <x:v>172</x:v>
      </x:c>
      <x:c r="T944" s="9" t="str">
        <x:v>bd4dae1e08e9eca7ddd0669235bf59107cdc418b9c2898fc16f36a7ab5748692</x:v>
      </x:c>
      <x:c r="U944" s="9" t="str">
        <x:v>W_SKIRTS_AVGPAID_1300_1400_ANNUAL2026</x:v>
      </x:c>
      <x:c r="V944" s="9" t="str">
        <x:v>W_SKIRTS_AVGPAID_1300_1400_ANNUAL2026.xlsx / 默认 / 第172行 / SHA256 bd4dae1e08e9eca7ddd0669235bf59107cdc418b9c2898fc16f36a7ab5748692</x:v>
      </x:c>
    </x:row>
    <x:row r="945" ht="58" customHeight="1">
      <x:c r="A945" s="23" t="str">
        <x:v>714417489878</x:v>
      </x:c>
      <x:c r="B945" s="22"/>
      <x:c r="C945" s="22"/>
      <x:c r="D945" s="22"/>
      <x:c r="E945" s="9" t="str">
        <x:v>裙长未明确</x:v>
      </x:c>
      <x:c r="F945" s="9" t="str">
        <x:v>裙装</x:v>
      </x:c>
      <x:c r="G945" s="9" t="str">
        <x:v>半身裙</x:v>
      </x:c>
      <x:c r="H945" s="9" t="str">
        <x:v>女</x:v>
      </x:c>
      <x:c r="I945" s="9" t="str">
        <x:v>YUELXIANG设计师品牌2026春夏新款原创简约圆形分割云朵褶皱半裙</x:v>
      </x:c>
      <x:c r="J945" s="9" t="str">
        <x:v>YUEL XIANG</x:v>
      </x:c>
      <x:c r="K945" s="24" t="n">
        <x:v>1514.2</x:v>
      </x:c>
      <x:c r="L945" s="25" t="e">
        <x:f>HYPERLINK("https://item.taobao.com/item.htm?id=714417489878","打开商品")</x:f>
        <x:v>HYPERLINK is not implemented. linkLocation=https://item.taobao.com/item.htm?id=714417489878, friendlyName=打开商品</x:v>
      </x:c>
      <x:c r="M945" s="25" t="e">
        <x:f>HYPERLINK("https://data.zhiyitech.cn/itemDetail/overview/base?itemId=714417489878","打开知衣")</x:f>
        <x:v>HYPERLINK is not implemented. linkLocation=https://data.zhiyitech.cn/itemDetail/overview/base?itemId=714417489878, friendlyName=打开知衣</x:v>
      </x:c>
      <x:c r="N945" s="25" t="e">
        <x:f>HYPERLINK("https://img.alicdn.com/bao/uploaded/i1/654030825/O1CN01PpnZ0N1HxtaQHP3MS_!!654030825.jpg","查看主图")</x:f>
        <x:v>HYPERLINK is not implemented. linkLocation=https://img.alicdn.com/bao/uploaded/i1/654030825/O1CN01PpnZ0N1HxtaQHP3MS_!!654030825.jpg, friendlyName=查看主图</x:v>
      </x:c>
      <x:c r="O945" s="9" t="str">
        <x:v>标题及既有类目语义复核；YUELXIANG设计师品牌2026春夏新款原创简约圆形分割云朵褶皱半裙；原类目及标题已能确认半身裙；展示使用已知大类，未知裙长下沉到结构字段，不强猜长短。</x:v>
      </x:c>
      <x:c r="P945" s="9" t="str">
        <x:v>普通男女装</x:v>
      </x:c>
      <x:c r="Q945" s="9" t="str">
        <x:v>W_SKIRTS_AVGPAID_1500_1600_ANNUAL2026.xlsx</x:v>
      </x:c>
      <x:c r="R945" s="9" t="str">
        <x:v>默认</x:v>
      </x:c>
      <x:c r="S945" s="9" t="n">
        <x:v>267</x:v>
      </x:c>
      <x:c r="T945" s="9" t="str">
        <x:v>deede8b56943df4f914be45dba170f12e69064023d6ef0e88dbde1764f6ba23e</x:v>
      </x:c>
      <x:c r="U945" s="9" t="str">
        <x:v>W_SKIRTS_AVGPAID_1500_1600_ANNUAL2026</x:v>
      </x:c>
      <x:c r="V945" s="9" t="str">
        <x:v>W_SKIRTS_AVGPAID_1500_1600_ANNUAL2026.xlsx / 默认 / 第267行 / SHA256 deede8b56943df4f914be45dba170f12e69064023d6ef0e88dbde1764f6ba23e</x:v>
      </x:c>
    </x:row>
    <x:row r="946" ht="58" customHeight="1">
      <x:c r="A946" s="23" t="str">
        <x:v>747894556604</x:v>
      </x:c>
      <x:c r="B946" s="22"/>
      <x:c r="C946" s="22"/>
      <x:c r="D946" s="22"/>
      <x:c r="E946" s="9" t="str">
        <x:v>裙长未明确</x:v>
      </x:c>
      <x:c r="F946" s="9" t="str">
        <x:v>裙装</x:v>
      </x:c>
      <x:c r="G946" s="9" t="str">
        <x:v>半身裙</x:v>
      </x:c>
      <x:c r="H946" s="9" t="str">
        <x:v>女</x:v>
      </x:c>
      <x:c r="I946" s="9" t="str">
        <x:v>YUELXIANG设计师品牌2026秋冬新款原创简约宽松颗粒羊毛弧形半裙</x:v>
      </x:c>
      <x:c r="J946" s="9" t="str">
        <x:v>YUEL XIANG</x:v>
      </x:c>
      <x:c r="K946" s="24" t="n">
        <x:v>1773.83</x:v>
      </x:c>
      <x:c r="L946" s="25" t="e">
        <x:f>HYPERLINK("https://item.taobao.com/item.htm?id=747894556604","打开商品")</x:f>
        <x:v>HYPERLINK is not implemented. linkLocation=https://item.taobao.com/item.htm?id=747894556604, friendlyName=打开商品</x:v>
      </x:c>
      <x:c r="M946" s="25" t="e">
        <x:f>HYPERLINK("https://data.zhiyitech.cn/itemDetail/overview/base?itemId=747894556604","打开知衣")</x:f>
        <x:v>HYPERLINK is not implemented. linkLocation=https://data.zhiyitech.cn/itemDetail/overview/base?itemId=747894556604, friendlyName=打开知衣</x:v>
      </x:c>
      <x:c r="N946" s="25" t="e">
        <x:f>HYPERLINK("https://img.alicdn.com/bao/uploaded/i2/654030825/O1CN01eVizCU1HxtePN5p1S_!!654030825.jpg","查看主图")</x:f>
        <x:v>HYPERLINK is not implemented. linkLocation=https://img.alicdn.com/bao/uploaded/i2/654030825/O1CN01eVizCU1HxtePN5p1S_!!654030825.jpg, friendlyName=查看主图</x:v>
      </x:c>
      <x:c r="O946" s="9" t="str">
        <x:v>标题及既有类目语义复核；YUELXIANG设计师品牌2026秋冬新款原创简约宽松颗粒羊毛弧形半裙；原类目及标题已能确认半身裙；展示使用已知大类，未知裙长下沉到结构字段，不强猜长短。</x:v>
      </x:c>
      <x:c r="P946" s="9" t="str">
        <x:v>普通男女装</x:v>
      </x:c>
      <x:c r="Q946" s="9" t="str">
        <x:v>W_SKIRTS_AVGPAID_1700_1800_ANNUAL2026.xlsx</x:v>
      </x:c>
      <x:c r="R946" s="9" t="str">
        <x:v>默认</x:v>
      </x:c>
      <x:c r="S946" s="9" t="n">
        <x:v>133</x:v>
      </x:c>
      <x:c r="T946" s="9" t="str">
        <x:v>c25ed77c53c7c5cfcf728778a0e9b297d8689503f62756a939cbd534ca9b587a</x:v>
      </x:c>
      <x:c r="U946" s="9" t="str">
        <x:v>W_SKIRTS_AVGPAID_1700_1800_ANNUAL2026</x:v>
      </x:c>
      <x:c r="V946" s="9" t="str">
        <x:v>W_SKIRTS_AVGPAID_1700_1800_ANNUAL2026.xlsx / 默认 / 第133行 / SHA256 c25ed77c53c7c5cfcf728778a0e9b297d8689503f62756a939cbd534ca9b587a</x:v>
      </x:c>
    </x:row>
    <x:row r="947" ht="58" customHeight="1">
      <x:c r="A947" s="23" t="str">
        <x:v>800270530416</x:v>
      </x:c>
      <x:c r="B947" s="22"/>
      <x:c r="C947" s="22"/>
      <x:c r="D947" s="22"/>
      <x:c r="E947" s="9" t="str">
        <x:v>裙长未明确</x:v>
      </x:c>
      <x:c r="F947" s="9" t="str">
        <x:v>裙装</x:v>
      </x:c>
      <x:c r="G947" s="9" t="str">
        <x:v>半身裙</x:v>
      </x:c>
      <x:c r="H947" s="9" t="str">
        <x:v>女</x:v>
      </x:c>
      <x:c r="I947" s="9" t="str">
        <x:v>YUELXIANG设计师品牌2026春夏新款原创简约弧形褶皱真丝气球半裙</x:v>
      </x:c>
      <x:c r="J947" s="9" t="str">
        <x:v>YUEL XIANG</x:v>
      </x:c>
      <x:c r="K947" s="24" t="n">
        <x:v>1714.55</x:v>
      </x:c>
      <x:c r="L947" s="25" t="e">
        <x:f>HYPERLINK("https://item.taobao.com/item.htm?id=800270530416","打开商品")</x:f>
        <x:v>HYPERLINK is not implemented. linkLocation=https://item.taobao.com/item.htm?id=800270530416, friendlyName=打开商品</x:v>
      </x:c>
      <x:c r="M947" s="25" t="e">
        <x:f>HYPERLINK("https://data.zhiyitech.cn/itemDetail/overview/base?itemId=800270530416","打开知衣")</x:f>
        <x:v>HYPERLINK is not implemented. linkLocation=https://data.zhiyitech.cn/itemDetail/overview/base?itemId=800270530416, friendlyName=打开知衣</x:v>
      </x:c>
      <x:c r="N947" s="25" t="e">
        <x:f>HYPERLINK("https://img.alicdn.com/bao/uploaded/i1/654030825/O1CN01t8RYaA1HxtiHyDedI_!!654030825.jpg","查看主图")</x:f>
        <x:v>HYPERLINK is not implemented. linkLocation=https://img.alicdn.com/bao/uploaded/i1/654030825/O1CN01t8RYaA1HxtiHyDedI_!!654030825.jpg, friendlyName=查看主图</x:v>
      </x:c>
      <x:c r="O947" s="9" t="str">
        <x:v>标题及既有类目语义复核；YUELXIANG设计师品牌2026春夏新款原创简约弧形褶皱真丝气球半裙；原类目及标题已能确认半身裙；展示使用已知大类，未知裙长下沉到结构字段，不强猜长短。</x:v>
      </x:c>
      <x:c r="P947" s="9" t="str">
        <x:v>普通男女装</x:v>
      </x:c>
      <x:c r="Q947" s="9" t="str">
        <x:v>W_SKIRTS_AVGPAID_1700_1800_ANNUAL2026.xlsx</x:v>
      </x:c>
      <x:c r="R947" s="9" t="str">
        <x:v>默认</x:v>
      </x:c>
      <x:c r="S947" s="9" t="n">
        <x:v>299</x:v>
      </x:c>
      <x:c r="T947" s="9" t="str">
        <x:v>c25ed77c53c7c5cfcf728778a0e9b297d8689503f62756a939cbd534ca9b587a</x:v>
      </x:c>
      <x:c r="U947" s="9" t="str">
        <x:v>W_SKIRTS_AVGPAID_1700_1800_ANNUAL2026</x:v>
      </x:c>
      <x:c r="V947" s="9" t="str">
        <x:v>W_SKIRTS_AVGPAID_1700_1800_ANNUAL2026.xlsx / 默认 / 第299行 / SHA256 c25ed77c53c7c5cfcf728778a0e9b297d8689503f62756a939cbd534ca9b587a</x:v>
      </x:c>
    </x:row>
    <x:row r="948" ht="58" customHeight="1">
      <x:c r="A948" s="23" t="str">
        <x:v>800462076850</x:v>
      </x:c>
      <x:c r="B948" s="22"/>
      <x:c r="C948" s="22"/>
      <x:c r="D948" s="22"/>
      <x:c r="E948" s="9" t="str">
        <x:v>裙长未明确</x:v>
      </x:c>
      <x:c r="F948" s="9" t="str">
        <x:v>裙装</x:v>
      </x:c>
      <x:c r="G948" s="9" t="str">
        <x:v>半身裙</x:v>
      </x:c>
      <x:c r="H948" s="9" t="str">
        <x:v>女</x:v>
      </x:c>
      <x:c r="I948" s="9" t="str">
        <x:v>YUELXIANG设计师品牌2026春夏新款原创简约OVERSIZE弧形褶皱半裙</x:v>
      </x:c>
      <x:c r="J948" s="9" t="str">
        <x:v>YUEL XIANG</x:v>
      </x:c>
      <x:c r="K948" s="24" t="n">
        <x:v>1335.41</x:v>
      </x:c>
      <x:c r="L948" s="25" t="e">
        <x:f>HYPERLINK("https://item.taobao.com/item.htm?id=800462076850","打开商品")</x:f>
        <x:v>HYPERLINK is not implemented. linkLocation=https://item.taobao.com/item.htm?id=800462076850, friendlyName=打开商品</x:v>
      </x:c>
      <x:c r="M948" s="25" t="e">
        <x:f>HYPERLINK("https://data.zhiyitech.cn/itemDetail/overview/base?itemId=800462076850","打开知衣")</x:f>
        <x:v>HYPERLINK is not implemented. linkLocation=https://data.zhiyitech.cn/itemDetail/overview/base?itemId=800462076850, friendlyName=打开知衣</x:v>
      </x:c>
      <x:c r="N948" s="25" t="e">
        <x:f>HYPERLINK("https://img.alicdn.com/bao/uploaded/i3/654030825/O1CN01BJ235W1Hxth64ogse_!!654030825.jpg","查看主图")</x:f>
        <x:v>HYPERLINK is not implemented. linkLocation=https://img.alicdn.com/bao/uploaded/i3/654030825/O1CN01BJ235W1Hxth64ogse_!!654030825.jpg, friendlyName=查看主图</x:v>
      </x:c>
      <x:c r="O948" s="9" t="str">
        <x:v>标题及既有类目语义复核；YUELXIANG设计师品牌2026春夏新款原创简约OVERSIZE弧形褶皱半裙；原类目及标题已能确认半身裙；展示使用已知大类，未知裙长下沉到结构字段，不强猜长短。</x:v>
      </x:c>
      <x:c r="P948" s="9" t="str">
        <x:v>普通男女装</x:v>
      </x:c>
      <x:c r="Q948" s="9" t="str">
        <x:v>W_SKIRTS_AVGPAID_1300_1400_ANNUAL2026.xlsx</x:v>
      </x:c>
      <x:c r="R948" s="9" t="str">
        <x:v>默认</x:v>
      </x:c>
      <x:c r="S948" s="9" t="n">
        <x:v>224</x:v>
      </x:c>
      <x:c r="T948" s="9" t="str">
        <x:v>bd4dae1e08e9eca7ddd0669235bf59107cdc418b9c2898fc16f36a7ab5748692</x:v>
      </x:c>
      <x:c r="U948" s="9" t="str">
        <x:v>W_SKIRTS_AVGPAID_1300_1400_ANNUAL2026</x:v>
      </x:c>
      <x:c r="V948" s="9" t="str">
        <x:v>W_SKIRTS_AVGPAID_1300_1400_ANNUAL2026.xlsx / 默认 / 第224行 / SHA256 bd4dae1e08e9eca7ddd0669235bf59107cdc418b9c2898fc16f36a7ab5748692</x:v>
      </x:c>
    </x:row>
    <x:row r="949" ht="58" customHeight="1">
      <x:c r="A949" s="23" t="str">
        <x:v>808930196495</x:v>
      </x:c>
      <x:c r="B949" s="22"/>
      <x:c r="C949" s="22"/>
      <x:c r="D949" s="22"/>
      <x:c r="E949" s="9" t="str">
        <x:v>裙长未明确</x:v>
      </x:c>
      <x:c r="F949" s="9" t="str">
        <x:v>裙装</x:v>
      </x:c>
      <x:c r="G949" s="9" t="str">
        <x:v>半身裙</x:v>
      </x:c>
      <x:c r="H949" s="9" t="str">
        <x:v>女</x:v>
      </x:c>
      <x:c r="I949" s="9" t="str">
        <x:v>YUELXIANG设计师品牌2026春夏新款原创简约铜氨抽绳多穿半裙</x:v>
      </x:c>
      <x:c r="J949" s="9" t="str">
        <x:v>YUEL XIANG</x:v>
      </x:c>
      <x:c r="K949" s="24" t="n">
        <x:v>1535.02</x:v>
      </x:c>
      <x:c r="L949" s="25" t="e">
        <x:f>HYPERLINK("https://item.taobao.com/item.htm?id=808930196495","打开商品")</x:f>
        <x:v>HYPERLINK is not implemented. linkLocation=https://item.taobao.com/item.htm?id=808930196495, friendlyName=打开商品</x:v>
      </x:c>
      <x:c r="M949" s="25" t="e">
        <x:f>HYPERLINK("https://data.zhiyitech.cn/itemDetail/overview/base?itemId=808930196495","打开知衣")</x:f>
        <x:v>HYPERLINK is not implemented. linkLocation=https://data.zhiyitech.cn/itemDetail/overview/base?itemId=808930196495, friendlyName=打开知衣</x:v>
      </x:c>
      <x:c r="N949" s="25" t="e">
        <x:f>HYPERLINK("https://img.alicdn.com/bao/uploaded/i2/654030825/O1CN01kBf35H1HxtioDeCXJ_!!654030825.jpg","查看主图")</x:f>
        <x:v>HYPERLINK is not implemented. linkLocation=https://img.alicdn.com/bao/uploaded/i2/654030825/O1CN01kBf35H1HxtioDeCXJ_!!654030825.jpg, friendlyName=查看主图</x:v>
      </x:c>
      <x:c r="O949" s="9" t="str">
        <x:v>标题及既有类目语义复核；YUELXIANG设计师品牌2026春夏新款原创简约铜氨抽绳多穿半裙；原类目及标题已能确认半身裙；展示使用已知大类，未知裙长下沉到结构字段，不强猜长短。</x:v>
      </x:c>
      <x:c r="P949" s="9" t="str">
        <x:v>普通男女装</x:v>
      </x:c>
      <x:c r="Q949" s="9" t="str">
        <x:v>W_SKIRTS_AVGPAID_1500_1600_ANNUAL2026.xlsx</x:v>
      </x:c>
      <x:c r="R949" s="9" t="str">
        <x:v>默认</x:v>
      </x:c>
      <x:c r="S949" s="9" t="n">
        <x:v>97</x:v>
      </x:c>
      <x:c r="T949" s="9" t="str">
        <x:v>deede8b56943df4f914be45dba170f12e69064023d6ef0e88dbde1764f6ba23e</x:v>
      </x:c>
      <x:c r="U949" s="9" t="str">
        <x:v>W_SKIRTS_AVGPAID_1500_1600_ANNUAL2026</x:v>
      </x:c>
      <x:c r="V949" s="9" t="str">
        <x:v>W_SKIRTS_AVGPAID_1500_1600_ANNUAL2026.xlsx / 默认 / 第97行 / SHA256 deede8b56943df4f914be45dba170f12e69064023d6ef0e88dbde1764f6ba23e</x:v>
      </x:c>
    </x:row>
    <x:row r="950" ht="58" customHeight="1">
      <x:c r="A950" s="23" t="str">
        <x:v>834412152873</x:v>
      </x:c>
      <x:c r="B950" s="22"/>
      <x:c r="C950" s="22"/>
      <x:c r="D950" s="22"/>
      <x:c r="E950" s="9" t="str">
        <x:v>裙长未明确</x:v>
      </x:c>
      <x:c r="F950" s="9" t="str">
        <x:v>裙装</x:v>
      </x:c>
      <x:c r="G950" s="9" t="str">
        <x:v>半身裙</x:v>
      </x:c>
      <x:c r="H950" s="9" t="str">
        <x:v>女</x:v>
      </x:c>
      <x:c r="I950" s="9" t="str">
        <x:v>YUELXIANG设计师品牌2026秋冬新款原创简约修身双层A字针织半裙</x:v>
      </x:c>
      <x:c r="J950" s="9" t="str">
        <x:v>YUEL XIANG</x:v>
      </x:c>
      <x:c r="K950" s="24" t="n">
        <x:v>1366.07</x:v>
      </x:c>
      <x:c r="L950" s="25" t="e">
        <x:f>HYPERLINK("https://item.taobao.com/item.htm?id=834412152873","打开商品")</x:f>
        <x:v>HYPERLINK is not implemented. linkLocation=https://item.taobao.com/item.htm?id=834412152873, friendlyName=打开商品</x:v>
      </x:c>
      <x:c r="M950" s="25" t="e">
        <x:f>HYPERLINK("https://data.zhiyitech.cn/itemDetail/overview/base?itemId=834412152873","打开知衣")</x:f>
        <x:v>HYPERLINK is not implemented. linkLocation=https://data.zhiyitech.cn/itemDetail/overview/base?itemId=834412152873, friendlyName=打开知衣</x:v>
      </x:c>
      <x:c r="N950" s="25" t="e">
        <x:f>HYPERLINK("https://img.alicdn.com/bao/uploaded/i2/654030825/O1CN01GsvkvM1HxtkC7HSCw_!!654030825.jpg","查看主图")</x:f>
        <x:v>HYPERLINK is not implemented. linkLocation=https://img.alicdn.com/bao/uploaded/i2/654030825/O1CN01GsvkvM1HxtkC7HSCw_!!654030825.jpg, friendlyName=查看主图</x:v>
      </x:c>
      <x:c r="O950" s="9" t="str">
        <x:v>标题及既有类目语义复核；YUELXIANG设计师品牌2026秋冬新款原创简约修身双层A字针织半裙；原类目及标题已能确认半身裙；展示使用已知大类，未知裙长下沉到结构字段，不强猜长短。</x:v>
      </x:c>
      <x:c r="P950" s="9" t="str">
        <x:v>普通男女装</x:v>
      </x:c>
      <x:c r="Q950" s="9" t="str">
        <x:v>W_SKIRTS_AVGPAID_1300_1400_ANNUAL2026.xlsx</x:v>
      </x:c>
      <x:c r="R950" s="9" t="str">
        <x:v>默认</x:v>
      </x:c>
      <x:c r="S950" s="9" t="n">
        <x:v>191</x:v>
      </x:c>
      <x:c r="T950" s="9" t="str">
        <x:v>bd4dae1e08e9eca7ddd0669235bf59107cdc418b9c2898fc16f36a7ab5748692</x:v>
      </x:c>
      <x:c r="U950" s="9" t="str">
        <x:v>W_SKIRTS_AVGPAID_1300_1400_ANNUAL2026</x:v>
      </x:c>
      <x:c r="V950" s="9" t="str">
        <x:v>W_SKIRTS_AVGPAID_1300_1400_ANNUAL2026.xlsx / 默认 / 第191行 / SHA256 bd4dae1e08e9eca7ddd0669235bf59107cdc418b9c2898fc16f36a7ab5748692</x:v>
      </x:c>
    </x:row>
    <x:row r="951" ht="58" customHeight="1">
      <x:c r="A951" s="23" t="str">
        <x:v>911046999611</x:v>
      </x:c>
      <x:c r="B951" s="22"/>
      <x:c r="C951" s="22"/>
      <x:c r="D951" s="22"/>
      <x:c r="E951" s="9" t="str">
        <x:v>裙长未明确</x:v>
      </x:c>
      <x:c r="F951" s="9" t="str">
        <x:v>裙装</x:v>
      </x:c>
      <x:c r="G951" s="9" t="str">
        <x:v>半身裙</x:v>
      </x:c>
      <x:c r="H951" s="9" t="str">
        <x:v>女</x:v>
      </x:c>
      <x:c r="I951" s="9" t="str">
        <x:v>YUELXIANG设计师2026春夏新款原创简约几何廓形不对称半裙</x:v>
      </x:c>
      <x:c r="J951" s="9" t="str">
        <x:v>YUEL XIANG</x:v>
      </x:c>
      <x:c r="K951" s="24" t="n">
        <x:v>1341.36</x:v>
      </x:c>
      <x:c r="L951" s="25" t="e">
        <x:f>HYPERLINK("https://item.taobao.com/item.htm?id=911046999611","打开商品")</x:f>
        <x:v>HYPERLINK is not implemented. linkLocation=https://item.taobao.com/item.htm?id=911046999611, friendlyName=打开商品</x:v>
      </x:c>
      <x:c r="M951" s="25" t="e">
        <x:f>HYPERLINK("https://data.zhiyitech.cn/itemDetail/overview/base?itemId=911046999611","打开知衣")</x:f>
        <x:v>HYPERLINK is not implemented. linkLocation=https://data.zhiyitech.cn/itemDetail/overview/base?itemId=911046999611, friendlyName=打开知衣</x:v>
      </x:c>
      <x:c r="N951" s="25" t="e">
        <x:f>HYPERLINK("https://img.alicdn.com/bao/uploaded/i3/654030825/O1CN017lMp4N1HxtntcpA9Z_!!654030825.jpg","查看主图")</x:f>
        <x:v>HYPERLINK is not implemented. linkLocation=https://img.alicdn.com/bao/uploaded/i3/654030825/O1CN017lMp4N1HxtntcpA9Z_!!654030825.jpg, friendlyName=查看主图</x:v>
      </x:c>
      <x:c r="O951" s="9" t="str">
        <x:v>标题及既有类目语义复核；YUELXIANG设计师2026春夏新款原创简约几何廓形不对称半裙；原类目及标题已能确认半身裙；展示使用已知大类，未知裙长下沉到结构字段，不强猜长短。</x:v>
      </x:c>
      <x:c r="P951" s="9" t="str">
        <x:v>普通男女装</x:v>
      </x:c>
      <x:c r="Q951" s="9" t="str">
        <x:v>W_SKIRTS_AVGPAID_1300_1400_ANNUAL2026.xlsx</x:v>
      </x:c>
      <x:c r="R951" s="9" t="str">
        <x:v>默认</x:v>
      </x:c>
      <x:c r="S951" s="9" t="n">
        <x:v>450</x:v>
      </x:c>
      <x:c r="T951" s="9" t="str">
        <x:v>bd4dae1e08e9eca7ddd0669235bf59107cdc418b9c2898fc16f36a7ab5748692</x:v>
      </x:c>
      <x:c r="U951" s="9" t="str">
        <x:v>W_SKIRTS_AVGPAID_1300_1400_ANNUAL2026</x:v>
      </x:c>
      <x:c r="V951" s="9" t="str">
        <x:v>W_SKIRTS_AVGPAID_1300_1400_ANNUAL2026.xlsx / 默认 / 第450行 / SHA256 bd4dae1e08e9eca7ddd0669235bf59107cdc418b9c2898fc16f36a7ab5748692</x:v>
      </x:c>
    </x:row>
    <x:row r="952" ht="58" customHeight="1">
      <x:c r="A952" s="23" t="str">
        <x:v>929309827102</x:v>
      </x:c>
      <x:c r="B952" s="22"/>
      <x:c r="C952" s="22"/>
      <x:c r="D952" s="22"/>
      <x:c r="E952" s="9" t="str">
        <x:v>裙长未明确</x:v>
      </x:c>
      <x:c r="F952" s="9" t="str">
        <x:v>裙装</x:v>
      </x:c>
      <x:c r="G952" s="9" t="str">
        <x:v>半身裙</x:v>
      </x:c>
      <x:c r="H952" s="9" t="str">
        <x:v>女</x:v>
      </x:c>
      <x:c r="I952" s="9" t="str">
        <x:v>YUELXIANG设计师2026春夏新款原创简约几何廓形不对称半裙</x:v>
      </x:c>
      <x:c r="J952" s="9" t="str">
        <x:v>YUEL XIANG</x:v>
      </x:c>
      <x:c r="K952" s="24" t="n">
        <x:v>1397.19</x:v>
      </x:c>
      <x:c r="L952" s="25" t="e">
        <x:f>HYPERLINK("https://item.taobao.com/item.htm?id=929309827102","打开商品")</x:f>
        <x:v>HYPERLINK is not implemented. linkLocation=https://item.taobao.com/item.htm?id=929309827102, friendlyName=打开商品</x:v>
      </x:c>
      <x:c r="M952" s="25" t="e">
        <x:f>HYPERLINK("https://data.zhiyitech.cn/itemDetail/overview/base?itemId=929309827102","打开知衣")</x:f>
        <x:v>HYPERLINK is not implemented. linkLocation=https://data.zhiyitech.cn/itemDetail/overview/base?itemId=929309827102, friendlyName=打开知衣</x:v>
      </x:c>
      <x:c r="N952" s="25" t="e">
        <x:f>HYPERLINK("https://img.alicdn.com/bao/uploaded/i1/654030825/O1CN01uQ8iox1HxtoUgyXCe_!!654030825.jpg","查看主图")</x:f>
        <x:v>HYPERLINK is not implemented. linkLocation=https://img.alicdn.com/bao/uploaded/i1/654030825/O1CN01uQ8iox1HxtoUgyXCe_!!654030825.jpg, friendlyName=查看主图</x:v>
      </x:c>
      <x:c r="O952" s="9" t="str">
        <x:v>标题及既有类目语义复核；YUELXIANG设计师2026春夏新款原创简约几何廓形不对称半裙；原类目及标题已能确认半身裙；展示使用已知大类，未知裙长下沉到结构字段，不强猜长短。</x:v>
      </x:c>
      <x:c r="P952" s="9" t="str">
        <x:v>普通男女装</x:v>
      </x:c>
      <x:c r="Q952" s="9" t="str">
        <x:v>W_SKIRTS_AVGPAID_1300_1400_ANNUAL2026.xlsx</x:v>
      </x:c>
      <x:c r="R952" s="9" t="str">
        <x:v>默认</x:v>
      </x:c>
      <x:c r="S952" s="9" t="n">
        <x:v>41</x:v>
      </x:c>
      <x:c r="T952" s="9" t="str">
        <x:v>bd4dae1e08e9eca7ddd0669235bf59107cdc418b9c2898fc16f36a7ab5748692</x:v>
      </x:c>
      <x:c r="U952" s="9" t="str">
        <x:v>W_SKIRTS_AVGPAID_1300_1400_ANNUAL2026</x:v>
      </x:c>
      <x:c r="V952" s="9" t="str">
        <x:v>W_SKIRTS_AVGPAID_1300_1400_ANNUAL2026.xlsx / 默认 / 第41行 / SHA256 bd4dae1e08e9eca7ddd0669235bf59107cdc418b9c2898fc16f36a7ab5748692</x:v>
      </x:c>
    </x:row>
    <x:row r="953" ht="58" customHeight="1">
      <x:c r="A953" s="23" t="str">
        <x:v>1084497751349</x:v>
      </x:c>
      <x:c r="B953" s="22"/>
      <x:c r="C953" s="22"/>
      <x:c r="D953" s="22"/>
      <x:c r="E953" s="9" t="str">
        <x:v>裙长未明确</x:v>
      </x:c>
      <x:c r="F953" s="9" t="str">
        <x:v>裙装</x:v>
      </x:c>
      <x:c r="G953" s="9" t="str">
        <x:v>半身裙</x:v>
      </x:c>
      <x:c r="H953" s="9" t="str">
        <x:v>男</x:v>
      </x:c>
      <x:c r="I953" s="9" t="str">
        <x:v>ZARA2026秋季新品 男装 BAISI GUADAGNINO系列 裙子 3692904 055</x:v>
      </x:c>
      <x:c r="J953" s="9" t="str">
        <x:v>ZARA</x:v>
      </x:c>
      <x:c r="K953" s="24" t="n">
        <x:v>1356.16</x:v>
      </x:c>
      <x:c r="L953" s="25" t="e">
        <x:f>HYPERLINK("https://item.taobao.com/item.htm?id=1084497751349","打开商品")</x:f>
        <x:v>HYPERLINK is not implemented. linkLocation=https://item.taobao.com/item.htm?id=1084497751349, friendlyName=打开商品</x:v>
      </x:c>
      <x:c r="M953" s="25" t="e">
        <x:f>HYPERLINK("https://data.zhiyitech.cn/itemDetail/overview/base?itemId=1084497751349","打开知衣")</x:f>
        <x:v>HYPERLINK is not implemented. linkLocation=https://data.zhiyitech.cn/itemDetail/overview/base?itemId=1084497751349, friendlyName=打开知衣</x:v>
      </x:c>
      <x:c r="N953" s="25" t="e">
        <x:f>HYPERLINK("https://img.alicdn.com/bao/uploaded/i3/2228361831/O1CN01l0yLAWUw3BG3FPpA_!!4611686018427386471-0-item_pic.jpg","查看主图")</x:f>
        <x:v>HYPERLINK is not implemented. linkLocation=https://img.alicdn.com/bao/uploaded/i3/2228361831/O1CN01l0yLAWUw3BG3FPpA_!!4611686018427386471-0-item_pic.jpg, friendlyName=查看主图</x:v>
      </x:c>
      <x:c r="O953" s="9" t="str">
        <x:v>标题及既有类目语义复核；ZARA2026秋季新品 男装 BAISI GUADAGNINO系列 裙子 3692904 055；原类目及标题已能确认半身裙；展示使用已知大类，未知裙长下沉到结构字段，不强猜长短。</x:v>
      </x:c>
      <x:c r="P953" s="9" t="str">
        <x:v>普通男女装</x:v>
      </x:c>
      <x:c r="Q953" s="9" t="str">
        <x:v>M_SHORTS_AVGPAID_1300_1400_ANNUAL2026.xlsx</x:v>
      </x:c>
      <x:c r="R953" s="9" t="str">
        <x:v>默认</x:v>
      </x:c>
      <x:c r="S953" s="9" t="n">
        <x:v>51</x:v>
      </x:c>
      <x:c r="T953" s="9" t="str">
        <x:v>1698812310bbbe22df54f411fabb46f5283a1103070e6dddbfc4f5afbf69124c</x:v>
      </x:c>
      <x:c r="U953" s="9" t="str">
        <x:v>M_SHORTS_AVGPAID_1300_1400_ANNUAL2026</x:v>
      </x:c>
      <x:c r="V953" s="9" t="str">
        <x:v>M_SHORTS_AVGPAID_1300_1400_ANNUAL2026.xlsx / 默认 / 第51行 / SHA256 1698812310bbbe22df54f411fabb46f5283a1103070e6dddbfc4f5afbf69124c</x:v>
      </x:c>
    </x:row>
    <x:row r="954" ht="58" customHeight="1">
      <x:c r="A954" s="23" t="str">
        <x:v>1087483200837</x:v>
      </x:c>
      <x:c r="B954" s="22"/>
      <x:c r="C954" s="22"/>
      <x:c r="D954" s="22"/>
      <x:c r="E954" s="9" t="str">
        <x:v>裙长未明确</x:v>
      </x:c>
      <x:c r="F954" s="9" t="str">
        <x:v>裙装</x:v>
      </x:c>
      <x:c r="G954" s="9" t="str">
        <x:v>半身裙</x:v>
      </x:c>
      <x:c r="H954" s="9" t="str">
        <x:v>男</x:v>
      </x:c>
      <x:c r="I954" s="9" t="str">
        <x:v>ZARA2026秋季新品 男装 BAISI GUADAGNINO系列 裙子 5854084 800</x:v>
      </x:c>
      <x:c r="J954" s="9" t="str">
        <x:v>ZARA</x:v>
      </x:c>
      <x:c r="K954" s="24" t="n">
        <x:v>1350.05</x:v>
      </x:c>
      <x:c r="L954" s="25" t="e">
        <x:f>HYPERLINK("https://item.taobao.com/item.htm?id=1087483200837","打开商品")</x:f>
        <x:v>HYPERLINK is not implemented. linkLocation=https://item.taobao.com/item.htm?id=1087483200837, friendlyName=打开商品</x:v>
      </x:c>
      <x:c r="M954" s="25" t="e">
        <x:f>HYPERLINK("https://data.zhiyitech.cn/itemDetail/overview/base?itemId=1087483200837","打开知衣")</x:f>
        <x:v>HYPERLINK is not implemented. linkLocation=https://data.zhiyitech.cn/itemDetail/overview/base?itemId=1087483200837, friendlyName=打开知衣</x:v>
      </x:c>
      <x:c r="N954" s="25" t="e">
        <x:f>HYPERLINK("https://img.alicdn.com/bao/uploaded/i4/2228361831/O1CN01CsLFRvQc08I3FPpA_!!4611686018427386471-0-item_pic.jpg","查看主图")</x:f>
        <x:v>HYPERLINK is not implemented. linkLocation=https://img.alicdn.com/bao/uploaded/i4/2228361831/O1CN01CsLFRvQc08I3FPpA_!!4611686018427386471-0-item_pic.jpg, friendlyName=查看主图</x:v>
      </x:c>
      <x:c r="O954" s="9" t="str">
        <x:v>标题及既有类目语义复核；ZARA2026秋季新品 男装 BAISI GUADAGNINO系列 裙子 5854084 800；原类目及标题已能确认半身裙；展示使用已知大类，未知裙长下沉到结构字段，不强猜长短。</x:v>
      </x:c>
      <x:c r="P954" s="9" t="str">
        <x:v>普通男女装</x:v>
      </x:c>
      <x:c r="Q954" s="9" t="str">
        <x:v>M_SHORTS_AVGPAID_1300_1400_ANNUAL2026.xlsx</x:v>
      </x:c>
      <x:c r="R954" s="9" t="str">
        <x:v>默认</x:v>
      </x:c>
      <x:c r="S954" s="9" t="n">
        <x:v>57</x:v>
      </x:c>
      <x:c r="T954" s="9" t="str">
        <x:v>1698812310bbbe22df54f411fabb46f5283a1103070e6dddbfc4f5afbf69124c</x:v>
      </x:c>
      <x:c r="U954" s="9" t="str">
        <x:v>M_SHORTS_AVGPAID_1300_1400_ANNUAL2026</x:v>
      </x:c>
      <x:c r="V954" s="9" t="str">
        <x:v>M_SHORTS_AVGPAID_1300_1400_ANNUAL2026.xlsx / 默认 / 第57行 / SHA256 1698812310bbbe22df54f411fabb46f5283a1103070e6dddbfc4f5afbf69124c</x:v>
      </x:c>
    </x:row>
    <x:row r="955" ht="58" customHeight="1">
      <x:c r="A955" s="23" t="str">
        <x:v>712733390557</x:v>
      </x:c>
      <x:c r="B955" s="22"/>
      <x:c r="C955" s="22"/>
      <x:c r="D955" s="22"/>
      <x:c r="E955" s="9" t="str">
        <x:v>裙长未明确</x:v>
      </x:c>
      <x:c r="F955" s="9" t="str">
        <x:v>裙装</x:v>
      </x:c>
      <x:c r="G955" s="9" t="str">
        <x:v>半身裙</x:v>
      </x:c>
      <x:c r="H955" s="9" t="str">
        <x:v>女</x:v>
      </x:c>
      <x:c r="I955" s="9" t="str">
        <x:v>印花真丝ZHUCHONGYUN设计感</x:v>
      </x:c>
      <x:c r="J955" s="9" t="str">
        <x:v>ZHUCHONGYUN</x:v>
      </x:c>
      <x:c r="K955" s="24" t="n">
        <x:v>1735.7</x:v>
      </x:c>
      <x:c r="L955" s="25" t="e">
        <x:f>HYPERLINK("https://item.taobao.com/item.htm?id=712733390557","打开商品")</x:f>
        <x:v>HYPERLINK is not implemented. linkLocation=https://item.taobao.com/item.htm?id=712733390557, friendlyName=打开商品</x:v>
      </x:c>
      <x:c r="M955" s="25" t="e">
        <x:f>HYPERLINK("https://data.zhiyitech.cn/itemDetail/overview/base?itemId=712733390557","打开知衣")</x:f>
        <x:v>HYPERLINK is not implemented. linkLocation=https://data.zhiyitech.cn/itemDetail/overview/base?itemId=712733390557, friendlyName=打开知衣</x:v>
      </x:c>
      <x:c r="N955" s="25" t="e">
        <x:f>HYPERLINK("https://img.alicdn.com/bao/uploaded/i2/3393304977/O1CN01LLuvXH1mdW3CaLAZw_!!0-item_pic.jpg","查看主图")</x:f>
        <x:v>HYPERLINK is not implemented. linkLocation=https://img.alicdn.com/bao/uploaded/i2/3393304977/O1CN01LLuvXH1mdW3CaLAZw_!!0-item_pic.jpg, friendlyName=查看主图</x:v>
      </x:c>
      <x:c r="O955" s="9" t="str">
        <x:v>标题及既有类目语义复核；印花真丝ZHUCHONGYUN设计感；原类目及标题已能确认半身裙；展示使用已知大类，未知裙长下沉到结构字段，不强猜长短。</x:v>
      </x:c>
      <x:c r="P955" s="9" t="str">
        <x:v>普通男女装</x:v>
      </x:c>
      <x:c r="Q955" s="9" t="str">
        <x:v>W_SKIRTS_AVGPAID_1700_1800_ANNUAL2026.xlsx</x:v>
      </x:c>
      <x:c r="R955" s="9" t="str">
        <x:v>默认</x:v>
      </x:c>
      <x:c r="S955" s="9" t="n">
        <x:v>323</x:v>
      </x:c>
      <x:c r="T955" s="9" t="str">
        <x:v>c25ed77c53c7c5cfcf728778a0e9b297d8689503f62756a939cbd534ca9b587a</x:v>
      </x:c>
      <x:c r="U955" s="9" t="str">
        <x:v>W_SKIRTS_AVGPAID_1700_1800_ANNUAL2026</x:v>
      </x:c>
      <x:c r="V955" s="9" t="str">
        <x:v>W_SKIRTS_AVGPAID_1700_1800_ANNUAL2026.xlsx / 默认 / 第323行 / SHA256 c25ed77c53c7c5cfcf728778a0e9b297d8689503f62756a939cbd534ca9b587a</x:v>
      </x:c>
    </x:row>
    <x:row r="956" ht="58" customHeight="1">
      <x:c r="A956" s="23" t="str">
        <x:v>877012766493</x:v>
      </x:c>
      <x:c r="B956" s="22"/>
      <x:c r="C956" s="22"/>
      <x:c r="D956" s="22"/>
      <x:c r="E956" s="9" t="str">
        <x:v>裙长未明确</x:v>
      </x:c>
      <x:c r="F956" s="9" t="str">
        <x:v>裙装</x:v>
      </x:c>
      <x:c r="G956" s="9" t="str">
        <x:v>半身裙</x:v>
      </x:c>
      <x:c r="H956" s="9" t="str">
        <x:v>女</x:v>
      </x:c>
      <x:c r="I956" s="9" t="str">
        <x:v>【脉络纹理】ZHUCHONGYUN春新款新中式黑色提花休闲设计套装</x:v>
      </x:c>
      <x:c r="J956" s="9" t="str">
        <x:v>ZHUCHONGYUN</x:v>
      </x:c>
      <x:c r="K956" s="24" t="n">
        <x:v>1751.73</x:v>
      </x:c>
      <x:c r="L956" s="25" t="e">
        <x:f>HYPERLINK("https://item.taobao.com/item.htm?id=877012766493","打开商品")</x:f>
        <x:v>HYPERLINK is not implemented. linkLocation=https://item.taobao.com/item.htm?id=877012766493, friendlyName=打开商品</x:v>
      </x:c>
      <x:c r="M956" s="25" t="e">
        <x:f>HYPERLINK("https://data.zhiyitech.cn/itemDetail/overview/base?itemId=877012766493","打开知衣")</x:f>
        <x:v>HYPERLINK is not implemented. linkLocation=https://data.zhiyitech.cn/itemDetail/overview/base?itemId=877012766493, friendlyName=打开知衣</x:v>
      </x:c>
      <x:c r="N956" s="25" t="e">
        <x:f>HYPERLINK("https://img.alicdn.com/bao/uploaded/i2/3393304977/O1CN01hqANOW1PpxE1chua_!!3393304977.jpg","查看主图")</x:f>
        <x:v>HYPERLINK is not implemented. linkLocation=https://img.alicdn.com/bao/uploaded/i2/3393304977/O1CN01hqANOW1PpxE1chua_!!3393304977.jpg, friendlyName=查看主图</x:v>
      </x:c>
      <x:c r="O956" s="9" t="str">
        <x:v>标题及既有类目语义复核；【脉络纹理】ZHUCHONGYUN春新款新中式黑色提花休闲设计套装；原类目及标题已能确认半身裙；展示使用已知大类，未知裙长下沉到结构字段，不强猜长短。</x:v>
      </x:c>
      <x:c r="P956" s="9" t="str">
        <x:v>普通男女装</x:v>
      </x:c>
      <x:c r="Q956" s="9" t="str">
        <x:v>W_SKIRTS_AVGPAID_1700_1800_ANNUAL2026.xlsx</x:v>
      </x:c>
      <x:c r="R956" s="9" t="str">
        <x:v>默认</x:v>
      </x:c>
      <x:c r="S956" s="9" t="n">
        <x:v>501</x:v>
      </x:c>
      <x:c r="T956" s="9" t="str">
        <x:v>c25ed77c53c7c5cfcf728778a0e9b297d8689503f62756a939cbd534ca9b587a</x:v>
      </x:c>
      <x:c r="U956" s="9" t="str">
        <x:v>W_SKIRTS_AVGPAID_1700_1800_ANNUAL2026</x:v>
      </x:c>
      <x:c r="V956" s="9" t="str">
        <x:v>W_SKIRTS_AVGPAID_1700_1800_ANNUAL2026.xlsx / 默认 / 第501行 / SHA256 c25ed77c53c7c5cfcf728778a0e9b297d8689503f62756a939cbd534ca9b587a</x:v>
      </x:c>
    </x:row>
    <x:row r="957" ht="58" customHeight="1">
      <x:c r="A957" s="23" t="str">
        <x:v>1035665807590</x:v>
      </x:c>
      <x:c r="B957" s="22"/>
      <x:c r="C957" s="22"/>
      <x:c r="D957" s="22"/>
      <x:c r="E957" s="9" t="str">
        <x:v>裙长未明确</x:v>
      </x:c>
      <x:c r="F957" s="9" t="str">
        <x:v>裙装</x:v>
      </x:c>
      <x:c r="G957" s="9" t="str">
        <x:v>半身裙</x:v>
      </x:c>
      <x:c r="H957" s="9" t="str">
        <x:v>女</x:v>
      </x:c>
      <x:c r="I957" s="9" t="str">
        <x:v>ZUCZUG女士砂洗斜纹半裙</x:v>
      </x:c>
      <x:c r="J957" s="9" t="str">
        <x:v>ZUCZUG/素然</x:v>
      </x:c>
      <x:c r="K957" s="24" t="n">
        <x:v>1333.26</x:v>
      </x:c>
      <x:c r="L957" s="25" t="e">
        <x:f>HYPERLINK("https://item.taobao.com/item.htm?id=1035665807590","打开商品")</x:f>
        <x:v>HYPERLINK is not implemented. linkLocation=https://item.taobao.com/item.htm?id=1035665807590, friendlyName=打开商品</x:v>
      </x:c>
      <x:c r="M957" s="25" t="e">
        <x:f>HYPERLINK("https://data.zhiyitech.cn/itemDetail/overview/base?itemId=1035665807590","打开知衣")</x:f>
        <x:v>HYPERLINK is not implemented. linkLocation=https://data.zhiyitech.cn/itemDetail/overview/base?itemId=1035665807590, friendlyName=打开知衣</x:v>
      </x:c>
      <x:c r="N957" s="25" t="e">
        <x:f>HYPERLINK("https://img.alicdn.com/bao/uploaded/i2/2185325717/O1CN01V0i4KlzEqGJ2R3rs_!!2185325717.jpg","查看主图")</x:f>
        <x:v>HYPERLINK is not implemented. linkLocation=https://img.alicdn.com/bao/uploaded/i2/2185325717/O1CN01V0i4KlzEqGJ2R3rs_!!2185325717.jpg, friendlyName=查看主图</x:v>
      </x:c>
      <x:c r="O957" s="9" t="str">
        <x:v>标题及既有类目语义复核；ZUCZUG女士砂洗斜纹半裙；原类目及标题已能确认半身裙；展示使用已知大类，未知裙长下沉到结构字段，不强猜长短。</x:v>
      </x:c>
      <x:c r="P957" s="9" t="str">
        <x:v>普通男女装</x:v>
      </x:c>
      <x:c r="Q957" s="9" t="str">
        <x:v>W_SKIRTS_AVGPAID_1300_1400_ANNUAL2026.xlsx</x:v>
      </x:c>
      <x:c r="R957" s="9" t="str">
        <x:v>默认</x:v>
      </x:c>
      <x:c r="S957" s="9" t="n">
        <x:v>59</x:v>
      </x:c>
      <x:c r="T957" s="9" t="str">
        <x:v>bd4dae1e08e9eca7ddd0669235bf59107cdc418b9c2898fc16f36a7ab5748692</x:v>
      </x:c>
      <x:c r="U957" s="9" t="str">
        <x:v>W_SKIRTS_AVGPAID_1300_1400_ANNUAL2026</x:v>
      </x:c>
      <x:c r="V957" s="9" t="str">
        <x:v>W_SKIRTS_AVGPAID_1300_1400_ANNUAL2026.xlsx / 默认 / 第59行 / SHA256 bd4dae1e08e9eca7ddd0669235bf59107cdc418b9c2898fc16f36a7ab5748692</x:v>
      </x:c>
    </x:row>
    <x:row r="958" ht="58" customHeight="1">
      <x:c r="A958" s="23" t="str">
        <x:v>1036378754282</x:v>
      </x:c>
      <x:c r="B958" s="22"/>
      <x:c r="C958" s="22"/>
      <x:c r="D958" s="22"/>
      <x:c r="E958" s="9" t="str">
        <x:v>裙长未明确</x:v>
      </x:c>
      <x:c r="F958" s="9" t="str">
        <x:v>裙装</x:v>
      </x:c>
      <x:c r="G958" s="9" t="str">
        <x:v>半身裙</x:v>
      </x:c>
      <x:c r="H958" s="9" t="str">
        <x:v>女</x:v>
      </x:c>
      <x:c r="I958" s="9" t="str">
        <x:v>ZUCZUG 素然 26夏女士简约通勤气质进口抽皱尼龙布伞裙</x:v>
      </x:c>
      <x:c r="J958" s="9" t="str">
        <x:v>ZUCZUG/素然</x:v>
      </x:c>
      <x:c r="K958" s="24" t="n">
        <x:v>1564.64</x:v>
      </x:c>
      <x:c r="L958" s="25" t="e">
        <x:f>HYPERLINK("https://item.taobao.com/item.htm?id=1036378754282","打开商品")</x:f>
        <x:v>HYPERLINK is not implemented. linkLocation=https://item.taobao.com/item.htm?id=1036378754282, friendlyName=打开商品</x:v>
      </x:c>
      <x:c r="M958" s="25" t="e">
        <x:f>HYPERLINK("https://data.zhiyitech.cn/itemDetail/overview/base?itemId=1036378754282","打开知衣")</x:f>
        <x:v>HYPERLINK is not implemented. linkLocation=https://data.zhiyitech.cn/itemDetail/overview/base?itemId=1036378754282, friendlyName=打开知衣</x:v>
      </x:c>
      <x:c r="N958" s="25" t="e">
        <x:f>HYPERLINK("https://img.alicdn.com/bao/uploaded/i1/2185325717/O1CN01Tw5FI58fuIC2R3rs_!!2185325717.jpg","查看主图")</x:f>
        <x:v>HYPERLINK is not implemented. linkLocation=https://img.alicdn.com/bao/uploaded/i1/2185325717/O1CN01Tw5FI58fuIC2R3rs_!!2185325717.jpg, friendlyName=查看主图</x:v>
      </x:c>
      <x:c r="O958" s="9" t="str">
        <x:v>标题及既有类目语义复核；ZUCZUG 素然 26夏女士简约通勤气质进口抽皱尼龙布伞裙；原类目及标题已能确认半身裙；展示使用已知大类，未知裙长下沉到结构字段，不强猜长短。</x:v>
      </x:c>
      <x:c r="P958" s="9" t="str">
        <x:v>普通男女装</x:v>
      </x:c>
      <x:c r="Q958" s="9" t="str">
        <x:v>W_SKIRTS_AVGPAID_1500_1600_ANNUAL2026.xlsx</x:v>
      </x:c>
      <x:c r="R958" s="9" t="str">
        <x:v>默认</x:v>
      </x:c>
      <x:c r="S958" s="9" t="n">
        <x:v>52</x:v>
      </x:c>
      <x:c r="T958" s="9" t="str">
        <x:v>deede8b56943df4f914be45dba170f12e69064023d6ef0e88dbde1764f6ba23e</x:v>
      </x:c>
      <x:c r="U958" s="9" t="str">
        <x:v>W_SKIRTS_AVGPAID_1500_1600_ANNUAL2026</x:v>
      </x:c>
      <x:c r="V958" s="9" t="str">
        <x:v>W_SKIRTS_AVGPAID_1500_1600_ANNUAL2026.xlsx / 默认 / 第52行 / SHA256 deede8b56943df4f914be45dba170f12e69064023d6ef0e88dbde1764f6ba23e</x:v>
      </x:c>
    </x:row>
    <x:row r="959" ht="58" customHeight="1">
      <x:c r="A959" s="23" t="str">
        <x:v>1040547414058</x:v>
      </x:c>
      <x:c r="B959" s="22"/>
      <x:c r="C959" s="22"/>
      <x:c r="D959" s="22"/>
      <x:c r="E959" s="9" t="str">
        <x:v>裙长未明确</x:v>
      </x:c>
      <x:c r="F959" s="9" t="str">
        <x:v>裙装</x:v>
      </x:c>
      <x:c r="G959" s="9" t="str">
        <x:v>半身裙</x:v>
      </x:c>
      <x:c r="H959" s="9" t="str">
        <x:v>女</x:v>
      </x:c>
      <x:c r="I959" s="9" t="str">
        <x:v>ZUCZUG没事儿莱赛尔棉牛仔半裙</x:v>
      </x:c>
      <x:c r="J959" s="9" t="str">
        <x:v>ZUCZUG/素然</x:v>
      </x:c>
      <x:c r="K959" s="24" t="n">
        <x:v>1349.08</x:v>
      </x:c>
      <x:c r="L959" s="25" t="e">
        <x:f>HYPERLINK("https://item.taobao.com/item.htm?id=1040547414058","打开商品")</x:f>
        <x:v>HYPERLINK is not implemented. linkLocation=https://item.taobao.com/item.htm?id=1040547414058, friendlyName=打开商品</x:v>
      </x:c>
      <x:c r="M959" s="25" t="e">
        <x:f>HYPERLINK("https://data.zhiyitech.cn/itemDetail/overview/base?itemId=1040547414058","打开知衣")</x:f>
        <x:v>HYPERLINK is not implemented. linkLocation=https://data.zhiyitech.cn/itemDetail/overview/base?itemId=1040547414058, friendlyName=打开知衣</x:v>
      </x:c>
      <x:c r="N959" s="25" t="e">
        <x:f>HYPERLINK("https://img.alicdn.com/bao/uploaded/i1/2185325717/O1CN01kAQ9wPSA6MI2R3rs_!!2185325717.jpg","查看主图")</x:f>
        <x:v>HYPERLINK is not implemented. linkLocation=https://img.alicdn.com/bao/uploaded/i1/2185325717/O1CN01kAQ9wPSA6MI2R3rs_!!2185325717.jpg, friendlyName=查看主图</x:v>
      </x:c>
      <x:c r="O959" s="9" t="str">
        <x:v>标题及既有类目语义复核；ZUCZUG没事儿莱赛尔棉牛仔半裙；原类目及标题已能确认半身裙；展示使用已知大类，未知裙长下沉到结构字段，不强猜长短。</x:v>
      </x:c>
      <x:c r="P959" s="9" t="str">
        <x:v>普通男女装</x:v>
      </x:c>
      <x:c r="Q959" s="9" t="str">
        <x:v>W_SKIRTS_AVGPAID_1300_1400_ANNUAL2026.xlsx</x:v>
      </x:c>
      <x:c r="R959" s="9" t="str">
        <x:v>默认</x:v>
      </x:c>
      <x:c r="S959" s="9" t="n">
        <x:v>245</x:v>
      </x:c>
      <x:c r="T959" s="9" t="str">
        <x:v>bd4dae1e08e9eca7ddd0669235bf59107cdc418b9c2898fc16f36a7ab5748692</x:v>
      </x:c>
      <x:c r="U959" s="9" t="str">
        <x:v>W_SKIRTS_AVGPAID_1300_1400_ANNUAL2026</x:v>
      </x:c>
      <x:c r="V959" s="9" t="str">
        <x:v>W_SKIRTS_AVGPAID_1300_1400_ANNUAL2026.xlsx / 默认 / 第245行 / SHA256 bd4dae1e08e9eca7ddd0669235bf59107cdc418b9c2898fc16f36a7ab5748692</x:v>
      </x:c>
    </x:row>
    <x:row r="960" ht="58" customHeight="1">
      <x:c r="A960" s="23" t="str">
        <x:v>1076803620440</x:v>
      </x:c>
      <x:c r="B960" s="22"/>
      <x:c r="C960" s="22"/>
      <x:c r="D960" s="22"/>
      <x:c r="E960" s="9" t="str">
        <x:v>裙长未明确</x:v>
      </x:c>
      <x:c r="F960" s="9" t="str">
        <x:v>裙装</x:v>
      </x:c>
      <x:c r="G960" s="9" t="str">
        <x:v>半身裙</x:v>
      </x:c>
      <x:c r="H960" s="9" t="str">
        <x:v>女</x:v>
      </x:c>
      <x:c r="I960" s="9" t="str">
        <x:v>【新品】ZUCZUG 素然 26秋女士简约气质光泽纱感挺括A字长半裙</x:v>
      </x:c>
      <x:c r="J960" s="9" t="str">
        <x:v>ZUCZUG/素然</x:v>
      </x:c>
      <x:c r="K960" s="24" t="n">
        <x:v>1511.73</x:v>
      </x:c>
      <x:c r="L960" s="25" t="e">
        <x:f>HYPERLINK("https://item.taobao.com/item.htm?id=1076803620440","打开商品")</x:f>
        <x:v>HYPERLINK is not implemented. linkLocation=https://item.taobao.com/item.htm?id=1076803620440, friendlyName=打开商品</x:v>
      </x:c>
      <x:c r="M960" s="25" t="e">
        <x:f>HYPERLINK("https://data.zhiyitech.cn/itemDetail/overview/base?itemId=1076803620440","打开知衣")</x:f>
        <x:v>HYPERLINK is not implemented. linkLocation=https://data.zhiyitech.cn/itemDetail/overview/base?itemId=1076803620440, friendlyName=打开知衣</x:v>
      </x:c>
      <x:c r="N960" s="25" t="e">
        <x:f>HYPERLINK("https://img.alicdn.com/bao/uploaded/i1/2185325717/O1CN016PmxYe0sCLK2R3rs_!!2185325717.jpg","查看主图")</x:f>
        <x:v>HYPERLINK is not implemented. linkLocation=https://img.alicdn.com/bao/uploaded/i1/2185325717/O1CN016PmxYe0sCLK2R3rs_!!2185325717.jpg, friendlyName=查看主图</x:v>
      </x:c>
      <x:c r="O960" s="9" t="str">
        <x:v>标题及既有类目语义复核；【新品】ZUCZUG 素然 26秋女士简约气质光泽纱感挺括A字长半裙；原类目及标题已能确认半身裙；展示使用已知大类，未知裙长下沉到结构字段，不强猜长短。</x:v>
      </x:c>
      <x:c r="P960" s="9" t="str">
        <x:v>普通男女装</x:v>
      </x:c>
      <x:c r="Q960" s="9" t="str">
        <x:v>W_SKIRTS_AVGPAID_1500_1600_ANNUAL2026.xlsx</x:v>
      </x:c>
      <x:c r="R960" s="9" t="str">
        <x:v>默认</x:v>
      </x:c>
      <x:c r="S960" s="9" t="n">
        <x:v>300</x:v>
      </x:c>
      <x:c r="T960" s="9" t="str">
        <x:v>deede8b56943df4f914be45dba170f12e69064023d6ef0e88dbde1764f6ba23e</x:v>
      </x:c>
      <x:c r="U960" s="9" t="str">
        <x:v>W_SKIRTS_AVGPAID_1500_1600_ANNUAL2026</x:v>
      </x:c>
      <x:c r="V960" s="9" t="str">
        <x:v>W_SKIRTS_AVGPAID_1500_1600_ANNUAL2026.xlsx / 默认 / 第300行 / SHA256 deede8b56943df4f914be45dba170f12e69064023d6ef0e88dbde1764f6ba23e</x:v>
      </x:c>
    </x:row>
    <x:row r="961" ht="58" customHeight="1">
      <x:c r="A961" s="23" t="str">
        <x:v>964985757159</x:v>
      </x:c>
      <x:c r="B961" s="22"/>
      <x:c r="C961" s="22"/>
      <x:c r="D961" s="22"/>
      <x:c r="E961" s="9" t="str">
        <x:v>裙长未明确</x:v>
      </x:c>
      <x:c r="F961" s="9" t="str">
        <x:v>裙装</x:v>
      </x:c>
      <x:c r="G961" s="9" t="str">
        <x:v>半身裙</x:v>
      </x:c>
      <x:c r="H961" s="9" t="str">
        <x:v>女</x:v>
      </x:c>
      <x:c r="I961" s="9" t="str">
        <x:v>素然ZUCZUG 4M36 秋女士舒适罗纹垂感廓形长半裙</x:v>
      </x:c>
      <x:c r="J961" s="9" t="str">
        <x:v>ZUCZUG/素然</x:v>
      </x:c>
      <x:c r="K961" s="24" t="n">
        <x:v>1373.5</x:v>
      </x:c>
      <x:c r="L961" s="25" t="e">
        <x:f>HYPERLINK("https://item.taobao.com/item.htm?id=964985757159","打开商品")</x:f>
        <x:v>HYPERLINK is not implemented. linkLocation=https://item.taobao.com/item.htm?id=964985757159, friendlyName=打开商品</x:v>
      </x:c>
      <x:c r="M961" s="25" t="e">
        <x:f>HYPERLINK("https://data.zhiyitech.cn/itemDetail/overview/base?itemId=964985757159","打开知衣")</x:f>
        <x:v>HYPERLINK is not implemented. linkLocation=https://data.zhiyitech.cn/itemDetail/overview/base?itemId=964985757159, friendlyName=打开知衣</x:v>
      </x:c>
      <x:c r="N961" s="25" t="e">
        <x:f>HYPERLINK("https://img.alicdn.com/bao/uploaded/i2/2185325717/O1CN01MezBGiozf2G1chua_!!2185325717.jpg","查看主图")</x:f>
        <x:v>HYPERLINK is not implemented. linkLocation=https://img.alicdn.com/bao/uploaded/i2/2185325717/O1CN01MezBGiozf2G1chua_!!2185325717.jpg, friendlyName=查看主图</x:v>
      </x:c>
      <x:c r="O961" s="9" t="str">
        <x:v>标题及既有类目语义复核；素然ZUCZUG 4M36 秋女士舒适罗纹垂感廓形长半裙；原类目及标题已能确认半身裙；展示使用已知大类，未知裙长下沉到结构字段，不强猜长短。</x:v>
      </x:c>
      <x:c r="P961" s="9" t="str">
        <x:v>普通男女装</x:v>
      </x:c>
      <x:c r="Q961" s="9" t="str">
        <x:v>W_SKIRTS_AVGPAID_1300_1400_ANNUAL2026.xlsx</x:v>
      </x:c>
      <x:c r="R961" s="9" t="str">
        <x:v>默认</x:v>
      </x:c>
      <x:c r="S961" s="9" t="n">
        <x:v>293</x:v>
      </x:c>
      <x:c r="T961" s="9" t="str">
        <x:v>bd4dae1e08e9eca7ddd0669235bf59107cdc418b9c2898fc16f36a7ab5748692</x:v>
      </x:c>
      <x:c r="U961" s="9" t="str">
        <x:v>W_SKIRTS_AVGPAID_1300_1400_ANNUAL2026</x:v>
      </x:c>
      <x:c r="V961" s="9" t="str">
        <x:v>W_SKIRTS_AVGPAID_1300_1400_ANNUAL2026.xlsx / 默认 / 第293行 / SHA256 bd4dae1e08e9eca7ddd0669235bf59107cdc418b9c2898fc16f36a7ab5748692</x:v>
      </x:c>
    </x:row>
    <x:row r="962" ht="58" customHeight="1">
      <x:c r="A962" s="23" t="str">
        <x:v>981475049063</x:v>
      </x:c>
      <x:c r="B962" s="22"/>
      <x:c r="C962" s="22"/>
      <x:c r="D962" s="22"/>
      <x:c r="E962" s="9" t="str">
        <x:v>裙长未明确</x:v>
      </x:c>
      <x:c r="F962" s="9" t="str">
        <x:v>裙装</x:v>
      </x:c>
      <x:c r="G962" s="9" t="str">
        <x:v>半身裙</x:v>
      </x:c>
      <x:c r="H962" s="9" t="str">
        <x:v>女</x:v>
      </x:c>
      <x:c r="I962" s="9" t="str">
        <x:v>ZUCZUG 素然冬女士阔系柔软纯羊毛双面呢开叉直筒半裙</x:v>
      </x:c>
      <x:c r="J962" s="9" t="str">
        <x:v>ZUCZUG/素然</x:v>
      </x:c>
      <x:c r="K962" s="24" t="n">
        <x:v>1532.89</x:v>
      </x:c>
      <x:c r="L962" s="25" t="e">
        <x:f>HYPERLINK("https://item.taobao.com/item.htm?id=981475049063","打开商品")</x:f>
        <x:v>HYPERLINK is not implemented. linkLocation=https://item.taobao.com/item.htm?id=981475049063, friendlyName=打开商品</x:v>
      </x:c>
      <x:c r="M962" s="25" t="e">
        <x:f>HYPERLINK("https://data.zhiyitech.cn/itemDetail/overview/base?itemId=981475049063","打开知衣")</x:f>
        <x:v>HYPERLINK is not implemented. linkLocation=https://data.zhiyitech.cn/itemDetail/overview/base?itemId=981475049063, friendlyName=打开知衣</x:v>
      </x:c>
      <x:c r="N962" s="25" t="e">
        <x:f>HYPERLINK("https://img.alicdn.com/bao/uploaded/i2/2185325717/O1CN01m1w0OQfVn1F1chua_!!2185325717.jpg","查看主图")</x:f>
        <x:v>HYPERLINK is not implemented. linkLocation=https://img.alicdn.com/bao/uploaded/i2/2185325717/O1CN01m1w0OQfVn1F1chua_!!2185325717.jpg, friendlyName=查看主图</x:v>
      </x:c>
      <x:c r="O962" s="9" t="str">
        <x:v>标题及既有类目语义复核；ZUCZUG 素然冬女士阔系柔软纯羊毛双面呢开叉直筒半裙；原类目及标题已能确认半身裙；展示使用已知大类，未知裙长下沉到结构字段，不强猜长短。</x:v>
      </x:c>
      <x:c r="P962" s="9" t="str">
        <x:v>普通男女装</x:v>
      </x:c>
      <x:c r="Q962" s="9" t="str">
        <x:v>W_SKIRTS_AVGPAID_1500_1600_ANNUAL2026.xlsx</x:v>
      </x:c>
      <x:c r="R962" s="9" t="str">
        <x:v>默认</x:v>
      </x:c>
      <x:c r="S962" s="9" t="n">
        <x:v>441</x:v>
      </x:c>
      <x:c r="T962" s="9" t="str">
        <x:v>deede8b56943df4f914be45dba170f12e69064023d6ef0e88dbde1764f6ba23e</x:v>
      </x:c>
      <x:c r="U962" s="9" t="str">
        <x:v>W_SKIRTS_AVGPAID_1500_1600_ANNUAL2026</x:v>
      </x:c>
      <x:c r="V962" s="9" t="str">
        <x:v>W_SKIRTS_AVGPAID_1500_1600_ANNUAL2026.xlsx / 默认 / 第441行 / SHA256 deede8b56943df4f914be45dba170f12e69064023d6ef0e88dbde1764f6ba23e</x:v>
      </x:c>
    </x:row>
    <x:row r="963" ht="58" customHeight="1">
      <x:c r="A963" s="23" t="str">
        <x:v>596268312996</x:v>
      </x:c>
      <x:c r="B963" s="22"/>
      <x:c r="C963" s="22"/>
      <x:c r="D963" s="22"/>
      <x:c r="E963" s="9" t="str">
        <x:v>裙长未明确</x:v>
      </x:c>
      <x:c r="F963" s="9" t="str">
        <x:v>裙装</x:v>
      </x:c>
      <x:c r="G963" s="9" t="str">
        <x:v>半身裙</x:v>
      </x:c>
      <x:c r="H963" s="9" t="str">
        <x:v>女</x:v>
      </x:c>
      <x:c r="I963" s="9" t="str">
        <x:v>三宅褶皱基础款半身裙</x:v>
      </x:c>
      <x:c r="J963" s="9" t="str">
        <x:v>三宅褶皱</x:v>
      </x:c>
      <x:c r="K963" s="24" t="n">
        <x:v>1798.11</x:v>
      </x:c>
      <x:c r="L963" s="25" t="e">
        <x:f>HYPERLINK("https://item.taobao.com/item.htm?id=596268312996","打开商品")</x:f>
        <x:v>HYPERLINK is not implemented. linkLocation=https://item.taobao.com/item.htm?id=596268312996, friendlyName=打开商品</x:v>
      </x:c>
      <x:c r="M963" s="25" t="e">
        <x:f>HYPERLINK("https://data.zhiyitech.cn/itemDetail/overview/base?itemId=596268312996","打开知衣")</x:f>
        <x:v>HYPERLINK is not implemented. linkLocation=https://data.zhiyitech.cn/itemDetail/overview/base?itemId=596268312996, friendlyName=打开知衣</x:v>
      </x:c>
      <x:c r="N963" s="25" t="e">
        <x:f>HYPERLINK("https://img.alicdn.com/bao/uploaded/i2/690079215/O1CN01lYYUhL2HwWt7A61N8_!!690079215.jpg","查看主图")</x:f>
        <x:v>HYPERLINK is not implemented. linkLocation=https://img.alicdn.com/bao/uploaded/i2/690079215/O1CN01lYYUhL2HwWt7A61N8_!!690079215.jpg, friendlyName=查看主图</x:v>
      </x:c>
      <x:c r="O963" s="9" t="str">
        <x:v>标题及既有类目语义复核；三宅褶皱基础款半身裙；原类目及标题已能确认半身裙；展示使用已知大类，未知裙长下沉到结构字段，不强猜长短。</x:v>
      </x:c>
      <x:c r="P963" s="9" t="str">
        <x:v>普通男女装</x:v>
      </x:c>
      <x:c r="Q963" s="9" t="str">
        <x:v>W_SKIRTS_AVGPAID_1700_1800_ANNUAL2026.xlsx</x:v>
      </x:c>
      <x:c r="R963" s="9" t="str">
        <x:v>默认</x:v>
      </x:c>
      <x:c r="S963" s="9" t="n">
        <x:v>344</x:v>
      </x:c>
      <x:c r="T963" s="9" t="str">
        <x:v>c25ed77c53c7c5cfcf728778a0e9b297d8689503f62756a939cbd534ca9b587a</x:v>
      </x:c>
      <x:c r="U963" s="9" t="str">
        <x:v>W_SKIRTS_AVGPAID_1700_1800_ANNUAL2026</x:v>
      </x:c>
      <x:c r="V963" s="9" t="str">
        <x:v>W_SKIRTS_AVGPAID_1700_1800_ANNUAL2026.xlsx / 默认 / 第344行 / SHA256 c25ed77c53c7c5cfcf728778a0e9b297d8689503f62756a939cbd534ca9b587a</x:v>
      </x:c>
    </x:row>
    <x:row r="964" ht="58" customHeight="1">
      <x:c r="A964" s="23" t="str">
        <x:v>902270525820</x:v>
      </x:c>
      <x:c r="B964" s="22"/>
      <x:c r="C964" s="22"/>
      <x:c r="D964" s="22"/>
      <x:c r="E964" s="9" t="str">
        <x:v>裙长未明确</x:v>
      </x:c>
      <x:c r="F964" s="9" t="str">
        <x:v>裙装</x:v>
      </x:c>
      <x:c r="G964" s="9" t="str">
        <x:v>半身裙</x:v>
      </x:c>
      <x:c r="H964" s="9" t="str">
        <x:v>女</x:v>
      </x:c>
      <x:c r="I964" s="9" t="str">
        <x:v>几见 原创设计春夏植物染棉麻半身裙黄麻裙子裹裙文艺复古K51421</x:v>
      </x:c>
      <x:c r="J964" s="9" t="str">
        <x:v>几见</x:v>
      </x:c>
      <x:c r="K964" s="24" t="n">
        <x:v>1359</x:v>
      </x:c>
      <x:c r="L964" s="25" t="e">
        <x:f>HYPERLINK("https://item.taobao.com/item.htm?id=902270525820","打开商品")</x:f>
        <x:v>HYPERLINK is not implemented. linkLocation=https://item.taobao.com/item.htm?id=902270525820, friendlyName=打开商品</x:v>
      </x:c>
      <x:c r="M964" s="25" t="e">
        <x:f>HYPERLINK("https://data.zhiyitech.cn/itemDetail/overview/base?itemId=902270525820","打开知衣")</x:f>
        <x:v>HYPERLINK is not implemented. linkLocation=https://data.zhiyitech.cn/itemDetail/overview/base?itemId=902270525820, friendlyName=打开知衣</x:v>
      </x:c>
      <x:c r="N964" s="25" t="e">
        <x:f>HYPERLINK("https://img.alicdn.com/bao/uploaded/i2/94669014/O1CN01muCitN2GSTBHUYjCV_!!94669014.jpg","查看主图")</x:f>
        <x:v>HYPERLINK is not implemented. linkLocation=https://img.alicdn.com/bao/uploaded/i2/94669014/O1CN01muCitN2GSTBHUYjCV_!!94669014.jpg, friendlyName=查看主图</x:v>
      </x:c>
      <x:c r="O964" s="9" t="str">
        <x:v>标题及既有类目语义复核；几见 原创设计春夏植物染棉麻半身裙黄麻裙子裹裙文艺复古K51421；原类目及标题已能确认半身裙；展示使用已知大类，未知裙长下沉到结构字段，不强猜长短。</x:v>
      </x:c>
      <x:c r="P964" s="9" t="str">
        <x:v>普通男女装</x:v>
      </x:c>
      <x:c r="Q964" s="9" t="str">
        <x:v>W_SKIRTS_AVGPAID_1300_1400_ANNUAL2026.xlsx</x:v>
      </x:c>
      <x:c r="R964" s="9" t="str">
        <x:v>默认</x:v>
      </x:c>
      <x:c r="S964" s="9" t="n">
        <x:v>274</x:v>
      </x:c>
      <x:c r="T964" s="9" t="str">
        <x:v>bd4dae1e08e9eca7ddd0669235bf59107cdc418b9c2898fc16f36a7ab5748692</x:v>
      </x:c>
      <x:c r="U964" s="9" t="str">
        <x:v>W_SKIRTS_AVGPAID_1300_1400_ANNUAL2026</x:v>
      </x:c>
      <x:c r="V964" s="9" t="str">
        <x:v>W_SKIRTS_AVGPAID_1300_1400_ANNUAL2026.xlsx / 默认 / 第274行 / SHA256 bd4dae1e08e9eca7ddd0669235bf59107cdc418b9c2898fc16f36a7ab5748692</x:v>
      </x:c>
    </x:row>
    <x:row r="965" ht="58" customHeight="1">
      <x:c r="A965" s="23" t="str">
        <x:v>1041056265126</x:v>
      </x:c>
      <x:c r="B965" s="22"/>
      <x:c r="C965" s="22"/>
      <x:c r="D965" s="22"/>
      <x:c r="E965" s="9" t="str">
        <x:v>裙长未明确</x:v>
      </x:c>
      <x:c r="F965" s="9" t="str">
        <x:v>裙装</x:v>
      </x:c>
      <x:c r="G965" s="9" t="str">
        <x:v>半身裙</x:v>
      </x:c>
      <x:c r="H965" s="9" t="str">
        <x:v>女</x:v>
      </x:c>
      <x:c r="I965" s="9" t="str">
        <x:v>【秋夜笛】吉祥羽儿原创18MM真丝龟纹电力纺经典A字香云纱半身裙</x:v>
      </x:c>
      <x:c r="J965" s="9" t="str">
        <x:v>吉祥羽儿</x:v>
      </x:c>
      <x:c r="K965" s="24" t="n">
        <x:v>1349.63</x:v>
      </x:c>
      <x:c r="L965" s="25" t="e">
        <x:f>HYPERLINK("https://item.taobao.com/item.htm?id=1041056265126","打开商品")</x:f>
        <x:v>HYPERLINK is not implemented. linkLocation=https://item.taobao.com/item.htm?id=1041056265126, friendlyName=打开商品</x:v>
      </x:c>
      <x:c r="M965" s="25" t="e">
        <x:f>HYPERLINK("https://data.zhiyitech.cn/itemDetail/overview/base?itemId=1041056265126","打开知衣")</x:f>
        <x:v>HYPERLINK is not implemented. linkLocation=https://data.zhiyitech.cn/itemDetail/overview/base?itemId=1041056265126, friendlyName=打开知衣</x:v>
      </x:c>
      <x:c r="N965" s="25" t="e">
        <x:f>HYPERLINK("https://img.alicdn.com/bao/uploaded/i4/44768044/O1CN01iQBbHmfobMF2vH2e_!!44768044.jpg","查看主图")</x:f>
        <x:v>HYPERLINK is not implemented. linkLocation=https://img.alicdn.com/bao/uploaded/i4/44768044/O1CN01iQBbHmfobMF2vH2e_!!44768044.jpg, friendlyName=查看主图</x:v>
      </x:c>
      <x:c r="O965" s="9" t="str">
        <x:v>标题及既有类目语义复核；【秋夜笛】吉祥羽儿原创18MM真丝龟纹电力纺经典A字香云纱半身裙；原类目及标题已能确认半身裙；展示使用已知大类，未知裙长下沉到结构字段，不强猜长短。</x:v>
      </x:c>
      <x:c r="P965" s="9" t="str">
        <x:v>普通男女装</x:v>
      </x:c>
      <x:c r="Q965" s="9" t="str">
        <x:v>W_SKIRTS_AVGPAID_1300_1400_ANNUAL2026.xlsx</x:v>
      </x:c>
      <x:c r="R965" s="9" t="str">
        <x:v>默认</x:v>
      </x:c>
      <x:c r="S965" s="9" t="n">
        <x:v>95</x:v>
      </x:c>
      <x:c r="T965" s="9" t="str">
        <x:v>bd4dae1e08e9eca7ddd0669235bf59107cdc418b9c2898fc16f36a7ab5748692</x:v>
      </x:c>
      <x:c r="U965" s="9" t="str">
        <x:v>W_SKIRTS_AVGPAID_1300_1400_ANNUAL2026</x:v>
      </x:c>
      <x:c r="V965" s="9" t="str">
        <x:v>W_SKIRTS_AVGPAID_1300_1400_ANNUAL2026.xlsx / 默认 / 第95行 / SHA256 bd4dae1e08e9eca7ddd0669235bf59107cdc418b9c2898fc16f36a7ab5748692</x:v>
      </x:c>
    </x:row>
    <x:row r="966" ht="58" customHeight="1">
      <x:c r="A966" s="23" t="str">
        <x:v>870391346174</x:v>
      </x:c>
      <x:c r="B966" s="22"/>
      <x:c r="C966" s="22"/>
      <x:c r="D966" s="22"/>
      <x:c r="E966" s="9" t="str">
        <x:v>裙长未明确</x:v>
      </x:c>
      <x:c r="F966" s="9" t="str">
        <x:v>裙装</x:v>
      </x:c>
      <x:c r="G966" s="9" t="str">
        <x:v>半身裙</x:v>
      </x:c>
      <x:c r="H966" s="9" t="str">
        <x:v>女</x:v>
      </x:c>
      <x:c r="I966" s="9" t="str">
        <x:v>龟纹电力纺香云纱斑驳感半身裙</x:v>
      </x:c>
      <x:c r="J966" s="9" t="str">
        <x:v>吉祥羽儿</x:v>
      </x:c>
      <x:c r="K966" s="24" t="n">
        <x:v>1770.64</x:v>
      </x:c>
      <x:c r="L966" s="25" t="e">
        <x:f>HYPERLINK("https://item.taobao.com/item.htm?id=870391346174","打开商品")</x:f>
        <x:v>HYPERLINK is not implemented. linkLocation=https://item.taobao.com/item.htm?id=870391346174, friendlyName=打开商品</x:v>
      </x:c>
      <x:c r="M966" s="25" t="e">
        <x:f>HYPERLINK("https://data.zhiyitech.cn/itemDetail/overview/base?itemId=870391346174","打开知衣")</x:f>
        <x:v>HYPERLINK is not implemented. linkLocation=https://data.zhiyitech.cn/itemDetail/overview/base?itemId=870391346174, friendlyName=打开知衣</x:v>
      </x:c>
      <x:c r="N966" s="25" t="e">
        <x:f>HYPERLINK("https://img.alicdn.com/bao/uploaded/i4/44768044/O1CN01e1IUccWvmPL1chua_!!44768044.jpg","查看主图")</x:f>
        <x:v>HYPERLINK is not implemented. linkLocation=https://img.alicdn.com/bao/uploaded/i4/44768044/O1CN01e1IUccWvmPL1chua_!!44768044.jpg, friendlyName=查看主图</x:v>
      </x:c>
      <x:c r="O966" s="9" t="str">
        <x:v>标题及既有类目语义复核；龟纹电力纺香云纱斑驳感半身裙；原类目及标题已能确认半身裙；展示使用已知大类，未知裙长下沉到结构字段，不强猜长短。</x:v>
      </x:c>
      <x:c r="P966" s="9" t="str">
        <x:v>普通男女装</x:v>
      </x:c>
      <x:c r="Q966" s="9" t="str">
        <x:v>W_SKIRTS_AVGPAID_1700_1800_ANNUAL2026.xlsx</x:v>
      </x:c>
      <x:c r="R966" s="9" t="str">
        <x:v>默认</x:v>
      </x:c>
      <x:c r="S966" s="9" t="n">
        <x:v>366</x:v>
      </x:c>
      <x:c r="T966" s="9" t="str">
        <x:v>c25ed77c53c7c5cfcf728778a0e9b297d8689503f62756a939cbd534ca9b587a</x:v>
      </x:c>
      <x:c r="U966" s="9" t="str">
        <x:v>W_SKIRTS_AVGPAID_1700_1800_ANNUAL2026</x:v>
      </x:c>
      <x:c r="V966" s="9" t="str">
        <x:v>W_SKIRTS_AVGPAID_1700_1800_ANNUAL2026.xlsx / 默认 / 第366行 / SHA256 c25ed77c53c7c5cfcf728778a0e9b297d8689503f62756a939cbd534ca9b587a</x:v>
      </x:c>
    </x:row>
    <x:row r="967" ht="58" customHeight="1">
      <x:c r="A967" s="23" t="str">
        <x:v>897864116650</x:v>
      </x:c>
      <x:c r="B967" s="22"/>
      <x:c r="C967" s="22"/>
      <x:c r="D967" s="22"/>
      <x:c r="E967" s="9" t="str">
        <x:v>裙长未明确</x:v>
      </x:c>
      <x:c r="F967" s="9" t="str">
        <x:v>裙装</x:v>
      </x:c>
      <x:c r="G967" s="9" t="str">
        <x:v>半身裙</x:v>
      </x:c>
      <x:c r="H967" s="9" t="str">
        <x:v>女</x:v>
      </x:c>
      <x:c r="I967" s="9" t="str">
        <x:v>【春台翠】吉祥羽儿原创丝麻香云纱绣花A字廓形平整腰头半身裙女</x:v>
      </x:c>
      <x:c r="J967" s="9" t="str">
        <x:v>吉祥羽儿</x:v>
      </x:c>
      <x:c r="K967" s="24" t="n">
        <x:v>1703.9</x:v>
      </x:c>
      <x:c r="L967" s="25" t="e">
        <x:f>HYPERLINK("https://item.taobao.com/item.htm?id=897864116650","打开商品")</x:f>
        <x:v>HYPERLINK is not implemented. linkLocation=https://item.taobao.com/item.htm?id=897864116650, friendlyName=打开商品</x:v>
      </x:c>
      <x:c r="M967" s="25" t="e">
        <x:f>HYPERLINK("https://data.zhiyitech.cn/itemDetail/overview/base?itemId=897864116650","打开知衣")</x:f>
        <x:v>HYPERLINK is not implemented. linkLocation=https://data.zhiyitech.cn/itemDetail/overview/base?itemId=897864116650, friendlyName=打开知衣</x:v>
      </x:c>
      <x:c r="N967" s="25" t="e">
        <x:f>HYPERLINK("https://img.alicdn.com/bao/uploaded/i4/44768044/O1CN01PhgSxlNntmF1chua_!!44768044.jpg","查看主图")</x:f>
        <x:v>HYPERLINK is not implemented. linkLocation=https://img.alicdn.com/bao/uploaded/i4/44768044/O1CN01PhgSxlNntmF1chua_!!44768044.jpg, friendlyName=查看主图</x:v>
      </x:c>
      <x:c r="O967" s="9" t="str">
        <x:v>标题及既有类目语义复核；【春台翠】吉祥羽儿原创丝麻香云纱绣花A字廓形平整腰头半身裙女；原类目及标题已能确认半身裙；展示使用已知大类，未知裙长下沉到结构字段，不强猜长短。</x:v>
      </x:c>
      <x:c r="P967" s="9" t="str">
        <x:v>普通男女装</x:v>
      </x:c>
      <x:c r="Q967" s="9" t="str">
        <x:v>W_SKIRTS_AVGPAID_1700_1800_ANNUAL2026.xlsx</x:v>
      </x:c>
      <x:c r="R967" s="9" t="str">
        <x:v>默认</x:v>
      </x:c>
      <x:c r="S967" s="9" t="n">
        <x:v>290</x:v>
      </x:c>
      <x:c r="T967" s="9" t="str">
        <x:v>c25ed77c53c7c5cfcf728778a0e9b297d8689503f62756a939cbd534ca9b587a</x:v>
      </x:c>
      <x:c r="U967" s="9" t="str">
        <x:v>W_SKIRTS_AVGPAID_1700_1800_ANNUAL2026</x:v>
      </x:c>
      <x:c r="V967" s="9" t="str">
        <x:v>W_SKIRTS_AVGPAID_1700_1800_ANNUAL2026.xlsx / 默认 / 第290行 / SHA256 c25ed77c53c7c5cfcf728778a0e9b297d8689503f62756a939cbd534ca9b587a</x:v>
      </x:c>
    </x:row>
    <x:row r="968" ht="58" customHeight="1">
      <x:c r="A968" s="23" t="str">
        <x:v>988373264708</x:v>
      </x:c>
      <x:c r="B968" s="22"/>
      <x:c r="C968" s="22"/>
      <x:c r="D968" s="22"/>
      <x:c r="E968" s="9" t="str">
        <x:v>裙长未明确</x:v>
      </x:c>
      <x:c r="F968" s="9" t="str">
        <x:v>裙装</x:v>
      </x:c>
      <x:c r="G968" s="9" t="str">
        <x:v>半身裙</x:v>
      </x:c>
      <x:c r="H968" s="9" t="str">
        <x:v>女</x:v>
      </x:c>
      <x:c r="I968" s="9" t="str">
        <x:v>【琇英】吉祥羽儿原创100%亚麻禅意感手工绣花半松紧腰A字半身裙</x:v>
      </x:c>
      <x:c r="J968" s="9" t="str">
        <x:v>吉祥羽儿</x:v>
      </x:c>
      <x:c r="K968" s="24" t="n">
        <x:v>1537.3</x:v>
      </x:c>
      <x:c r="L968" s="25" t="e">
        <x:f>HYPERLINK("https://item.taobao.com/item.htm?id=988373264708","打开商品")</x:f>
        <x:v>HYPERLINK is not implemented. linkLocation=https://item.taobao.com/item.htm?id=988373264708, friendlyName=打开商品</x:v>
      </x:c>
      <x:c r="M968" s="25" t="e">
        <x:f>HYPERLINK("https://data.zhiyitech.cn/itemDetail/overview/base?itemId=988373264708","打开知衣")</x:f>
        <x:v>HYPERLINK is not implemented. linkLocation=https://data.zhiyitech.cn/itemDetail/overview/base?itemId=988373264708, friendlyName=打开知衣</x:v>
      </x:c>
      <x:c r="N968" s="25" t="e">
        <x:f>HYPERLINK("https://img.alicdn.com/bao/uploaded/i4/44768044/O1CN01LhJGSTXD3IJ2vH2e_!!44768044.jpg","查看主图")</x:f>
        <x:v>HYPERLINK is not implemented. linkLocation=https://img.alicdn.com/bao/uploaded/i4/44768044/O1CN01LhJGSTXD3IJ2vH2e_!!44768044.jpg, friendlyName=查看主图</x:v>
      </x:c>
      <x:c r="O968" s="9" t="str">
        <x:v>标题及既有类目语义复核；【琇英】吉祥羽儿原创100%亚麻禅意感手工绣花半松紧腰A字半身裙；原类目及标题已能确认半身裙；展示使用已知大类，未知裙长下沉到结构字段，不强猜长短。</x:v>
      </x:c>
      <x:c r="P968" s="9" t="str">
        <x:v>普通男女装</x:v>
      </x:c>
      <x:c r="Q968" s="9" t="str">
        <x:v>W_SKIRTS_AVGPAID_1500_1600_ANNUAL2026.xlsx</x:v>
      </x:c>
      <x:c r="R968" s="9" t="str">
        <x:v>默认</x:v>
      </x:c>
      <x:c r="S968" s="9" t="n">
        <x:v>275</x:v>
      </x:c>
      <x:c r="T968" s="9" t="str">
        <x:v>deede8b56943df4f914be45dba170f12e69064023d6ef0e88dbde1764f6ba23e</x:v>
      </x:c>
      <x:c r="U968" s="9" t="str">
        <x:v>W_SKIRTS_AVGPAID_1500_1600_ANNUAL2026</x:v>
      </x:c>
      <x:c r="V968" s="9" t="str">
        <x:v>W_SKIRTS_AVGPAID_1500_1600_ANNUAL2026.xlsx / 默认 / 第275行 / SHA256 deede8b56943df4f914be45dba170f12e69064023d6ef0e88dbde1764f6ba23e</x:v>
      </x:c>
    </x:row>
    <x:row r="969" ht="58" customHeight="1">
      <x:c r="A969" s="23" t="str">
        <x:v>1051228852512</x:v>
      </x:c>
      <x:c r="B969" s="22"/>
      <x:c r="C969" s="22"/>
      <x:c r="D969" s="22"/>
      <x:c r="E969" s="9" t="str">
        <x:v>裙长未明确</x:v>
      </x:c>
      <x:c r="F969" s="9" t="str">
        <x:v>裙装</x:v>
      </x:c>
      <x:c r="G969" s="9" t="str">
        <x:v>半身裙</x:v>
      </x:c>
      <x:c r="H969" s="9" t="str">
        <x:v>女</x:v>
      </x:c>
      <x:c r="I969" s="9" t="str">
        <x:v>三宅一生法式堆花褶皱半身裙套装</x:v>
      </x:c>
      <x:c r="J969" s="9" t="str">
        <x:v>后叙</x:v>
      </x:c>
      <x:c r="K969" s="24" t="n">
        <x:v>1595.56</x:v>
      </x:c>
      <x:c r="L969" s="25" t="e">
        <x:f>HYPERLINK("https://item.taobao.com/item.htm?id=1051228852512","打开商品")</x:f>
        <x:v>HYPERLINK is not implemented. linkLocation=https://item.taobao.com/item.htm?id=1051228852512, friendlyName=打开商品</x:v>
      </x:c>
      <x:c r="M969" s="25" t="e">
        <x:f>HYPERLINK("https://data.zhiyitech.cn/itemDetail/overview/base?itemId=1051228852512","打开知衣")</x:f>
        <x:v>HYPERLINK is not implemented. linkLocation=https://data.zhiyitech.cn/itemDetail/overview/base?itemId=1051228852512, friendlyName=打开知衣</x:v>
      </x:c>
      <x:c r="N969" s="25" t="e">
        <x:f>HYPERLINK("https://img.alicdn.com/bao/uploaded/i3/2127314896/O1CN01sZZqer1m2QHFhLTAU~crop,0,125,750,750~_!!2127314896.jpg","查看主图")</x:f>
        <x:v>HYPERLINK is not implemented. linkLocation=https://img.alicdn.com/bao/uploaded/i3/2127314896/O1CN01sZZqer1m2QHFhLTAU~crop,0,125,750,750~_!!2127314896.jpg, friendlyName=查看主图</x:v>
      </x:c>
      <x:c r="O969" s="9" t="str">
        <x:v>标题及既有类目语义复核；三宅一生法式堆花褶皱半身裙套装；原类目及标题已能确认半身裙；展示使用已知大类，未知裙长下沉到结构字段，不强猜长短。</x:v>
      </x:c>
      <x:c r="P969" s="9" t="str">
        <x:v>普通男女装</x:v>
      </x:c>
      <x:c r="Q969" s="9" t="str">
        <x:v>W_SKIRTS_AVGPAID_1500_1600_ANNUAL2026.xlsx</x:v>
      </x:c>
      <x:c r="R969" s="9" t="str">
        <x:v>默认</x:v>
      </x:c>
      <x:c r="S969" s="9" t="n">
        <x:v>78</x:v>
      </x:c>
      <x:c r="T969" s="9" t="str">
        <x:v>deede8b56943df4f914be45dba170f12e69064023d6ef0e88dbde1764f6ba23e</x:v>
      </x:c>
      <x:c r="U969" s="9" t="str">
        <x:v>W_SKIRTS_AVGPAID_1500_1600_ANNUAL2026</x:v>
      </x:c>
      <x:c r="V969" s="9" t="str">
        <x:v>W_SKIRTS_AVGPAID_1500_1600_ANNUAL2026.xlsx / 默认 / 第78行 / SHA256 deede8b56943df4f914be45dba170f12e69064023d6ef0e88dbde1764f6ba23e</x:v>
      </x:c>
    </x:row>
    <x:row r="970" ht="58" customHeight="1">
      <x:c r="A970" s="23" t="str">
        <x:v>1015352529601</x:v>
      </x:c>
      <x:c r="B970" s="22"/>
      <x:c r="C970" s="22"/>
      <x:c r="D970" s="22"/>
      <x:c r="E970" s="9" t="str">
        <x:v>裙长未明确</x:v>
      </x:c>
      <x:c r="F970" s="9" t="str">
        <x:v>裙装</x:v>
      </x:c>
      <x:c r="G970" s="9" t="str">
        <x:v>半身裙</x:v>
      </x:c>
      <x:c r="H970" s="9" t="str">
        <x:v>女</x:v>
      </x:c>
      <x:c r="I970" s="9" t="str">
        <x:v>器象和实原创女装别致垂褶结构半身裙小众设计不对称松紧腰半裙</x:v>
      </x:c>
      <x:c r="J970" s="9" t="str">
        <x:v>器象和实</x:v>
      </x:c>
      <x:c r="K970" s="24" t="n">
        <x:v>1383.8</x:v>
      </x:c>
      <x:c r="L970" s="25" t="e">
        <x:f>HYPERLINK("https://item.taobao.com/item.htm?id=1015352529601","打开商品")</x:f>
        <x:v>HYPERLINK is not implemented. linkLocation=https://item.taobao.com/item.htm?id=1015352529601, friendlyName=打开商品</x:v>
      </x:c>
      <x:c r="M970" s="25" t="e">
        <x:f>HYPERLINK("https://data.zhiyitech.cn/itemDetail/overview/base?itemId=1015352529601","打开知衣")</x:f>
        <x:v>HYPERLINK is not implemented. linkLocation=https://data.zhiyitech.cn/itemDetail/overview/base?itemId=1015352529601, friendlyName=打开知衣</x:v>
      </x:c>
      <x:c r="N970" s="25" t="e">
        <x:f>HYPERLINK("https://img.alicdn.com/bao/uploaded/i1/2495473350/O1CN01kyUhZy1acLwI9mBth_!!2495473350.jpg","查看主图")</x:f>
        <x:v>HYPERLINK is not implemented. linkLocation=https://img.alicdn.com/bao/uploaded/i1/2495473350/O1CN01kyUhZy1acLwI9mBth_!!2495473350.jpg, friendlyName=查看主图</x:v>
      </x:c>
      <x:c r="O970" s="9" t="str">
        <x:v>标题及既有类目语义复核；器象和实原创女装别致垂褶结构半身裙小众设计不对称松紧腰半裙；原类目及标题已能确认半身裙；展示使用已知大类，未知裙长下沉到结构字段，不强猜长短。</x:v>
      </x:c>
      <x:c r="P970" s="9" t="str">
        <x:v>普通男女装</x:v>
      </x:c>
      <x:c r="Q970" s="9" t="str">
        <x:v>W_SKIRTS_AVGPAID_1300_1400_ANNUAL2026.xlsx</x:v>
      </x:c>
      <x:c r="R970" s="9" t="str">
        <x:v>默认</x:v>
      </x:c>
      <x:c r="S970" s="9" t="n">
        <x:v>132</x:v>
      </x:c>
      <x:c r="T970" s="9" t="str">
        <x:v>bd4dae1e08e9eca7ddd0669235bf59107cdc418b9c2898fc16f36a7ab5748692</x:v>
      </x:c>
      <x:c r="U970" s="9" t="str">
        <x:v>W_SKIRTS_AVGPAID_1300_1400_ANNUAL2026</x:v>
      </x:c>
      <x:c r="V970" s="9" t="str">
        <x:v>W_SKIRTS_AVGPAID_1300_1400_ANNUAL2026.xlsx / 默认 / 第132行 / SHA256 bd4dae1e08e9eca7ddd0669235bf59107cdc418b9c2898fc16f36a7ab5748692</x:v>
      </x:c>
    </x:row>
    <x:row r="971" ht="58" customHeight="1">
      <x:c r="A971" s="23" t="str">
        <x:v>1045803097253</x:v>
      </x:c>
      <x:c r="B971" s="22"/>
      <x:c r="C971" s="22"/>
      <x:c r="D971" s="22"/>
      <x:c r="E971" s="9" t="str">
        <x:v>裙长未明确</x:v>
      </x:c>
      <x:c r="F971" s="9" t="str">
        <x:v>裙装</x:v>
      </x:c>
      <x:c r="G971" s="9" t="str">
        <x:v>半身裙</x:v>
      </x:c>
      <x:c r="H971" s="9" t="str">
        <x:v>女</x:v>
      </x:c>
      <x:c r="I971" s="9" t="str">
        <x:v>器象和实原创设计女装真丝混纺肌理感半身裙小众开叉设计直筒裙子</x:v>
      </x:c>
      <x:c r="J971" s="9" t="str">
        <x:v>器象和实</x:v>
      </x:c>
      <x:c r="K971" s="24" t="n">
        <x:v>1576.3</x:v>
      </x:c>
      <x:c r="L971" s="25" t="e">
        <x:f>HYPERLINK("https://item.taobao.com/item.htm?id=1045803097253","打开商品")</x:f>
        <x:v>HYPERLINK is not implemented. linkLocation=https://item.taobao.com/item.htm?id=1045803097253, friendlyName=打开商品</x:v>
      </x:c>
      <x:c r="M971" s="25" t="e">
        <x:f>HYPERLINK("https://data.zhiyitech.cn/itemDetail/overview/base?itemId=1045803097253","打开知衣")</x:f>
        <x:v>HYPERLINK is not implemented. linkLocation=https://data.zhiyitech.cn/itemDetail/overview/base?itemId=1045803097253, friendlyName=打开知衣</x:v>
      </x:c>
      <x:c r="N971" s="25" t="e">
        <x:f>HYPERLINK("https://img.alicdn.com/bao/uploaded/i4/2495473350/O1CN01Sa3Khe1acLxJHJfAV_!!2495473350.jpg","查看主图")</x:f>
        <x:v>HYPERLINK is not implemented. linkLocation=https://img.alicdn.com/bao/uploaded/i4/2495473350/O1CN01Sa3Khe1acLxJHJfAV_!!2495473350.jpg, friendlyName=查看主图</x:v>
      </x:c>
      <x:c r="O971" s="9" t="str">
        <x:v>标题及既有类目语义复核；器象和实原创设计女装真丝混纺肌理感半身裙小众开叉设计直筒裙子；原类目及标题已能确认半身裙；展示使用已知大类，未知裙长下沉到结构字段，不强猜长短。</x:v>
      </x:c>
      <x:c r="P971" s="9" t="str">
        <x:v>普通男女装</x:v>
      </x:c>
      <x:c r="Q971" s="9" t="str">
        <x:v>W_SKIRTS_AVGPAID_1500_1600_ANNUAL2026.xlsx</x:v>
      </x:c>
      <x:c r="R971" s="9" t="str">
        <x:v>默认</x:v>
      </x:c>
      <x:c r="S971" s="9" t="n">
        <x:v>496</x:v>
      </x:c>
      <x:c r="T971" s="9" t="str">
        <x:v>deede8b56943df4f914be45dba170f12e69064023d6ef0e88dbde1764f6ba23e</x:v>
      </x:c>
      <x:c r="U971" s="9" t="str">
        <x:v>W_SKIRTS_AVGPAID_1500_1600_ANNUAL2026</x:v>
      </x:c>
      <x:c r="V971" s="9" t="str">
        <x:v>W_SKIRTS_AVGPAID_1500_1600_ANNUAL2026.xlsx / 默认 / 第496行 / SHA256 deede8b56943df4f914be45dba170f12e69064023d6ef0e88dbde1764f6ba23e</x:v>
      </x:c>
    </x:row>
    <x:row r="972" ht="58" customHeight="1">
      <x:c r="A972" s="23" t="str">
        <x:v>1053053749476</x:v>
      </x:c>
      <x:c r="B972" s="22"/>
      <x:c r="C972" s="22"/>
      <x:c r="D972" s="22"/>
      <x:c r="E972" s="9" t="str">
        <x:v>裙长未明确</x:v>
      </x:c>
      <x:c r="F972" s="9" t="str">
        <x:v>裙装</x:v>
      </x:c>
      <x:c r="G972" s="9" t="str">
        <x:v>半身裙</x:v>
      </x:c>
      <x:c r="H972" s="9" t="str">
        <x:v>女</x:v>
      </x:c>
      <x:c r="I972" s="9" t="str">
        <x:v>壹旧原著重磅绣花草莓A字半身裙</x:v>
      </x:c>
      <x:c r="J972" s="9" t="str">
        <x:v>壹旧原著</x:v>
      </x:c>
      <x:c r="K972" s="24" t="n">
        <x:v>1709.54</x:v>
      </x:c>
      <x:c r="L972" s="25" t="e">
        <x:f>HYPERLINK("https://item.taobao.com/item.htm?id=1053053749476","打开商品")</x:f>
        <x:v>HYPERLINK is not implemented. linkLocation=https://item.taobao.com/item.htm?id=1053053749476, friendlyName=打开商品</x:v>
      </x:c>
      <x:c r="M972" s="25" t="e">
        <x:f>HYPERLINK("https://data.zhiyitech.cn/itemDetail/overview/base?itemId=1053053749476","打开知衣")</x:f>
        <x:v>HYPERLINK is not implemented. linkLocation=https://data.zhiyitech.cn/itemDetail/overview/base?itemId=1053053749476, friendlyName=打开知衣</x:v>
      </x:c>
      <x:c r="N972" s="25" t="e">
        <x:f>HYPERLINK("https://img.alicdn.com/bao/uploaded/i1/47270808/O1CN01Rxh6kM1Hq7AA6nP2i_!!47270808.jpg","查看主图")</x:f>
        <x:v>HYPERLINK is not implemented. linkLocation=https://img.alicdn.com/bao/uploaded/i1/47270808/O1CN01Rxh6kM1Hq7AA6nP2i_!!47270808.jpg, friendlyName=查看主图</x:v>
      </x:c>
      <x:c r="O972" s="9" t="str">
        <x:v>标题及既有类目语义复核；壹旧原著重磅绣花草莓A字半身裙；原类目及标题已能确认半身裙；展示使用已知大类，未知裙长下沉到结构字段，不强猜长短。</x:v>
      </x:c>
      <x:c r="P972" s="9" t="str">
        <x:v>普通男女装</x:v>
      </x:c>
      <x:c r="Q972" s="9" t="str">
        <x:v>W_SKIRTS_AVGPAID_1700_1800_ANNUAL2026.xlsx</x:v>
      </x:c>
      <x:c r="R972" s="9" t="str">
        <x:v>默认</x:v>
      </x:c>
      <x:c r="S972" s="9" t="n">
        <x:v>48</x:v>
      </x:c>
      <x:c r="T972" s="9" t="str">
        <x:v>c25ed77c53c7c5cfcf728778a0e9b297d8689503f62756a939cbd534ca9b587a</x:v>
      </x:c>
      <x:c r="U972" s="9" t="str">
        <x:v>W_SKIRTS_AVGPAID_1700_1800_ANNUAL2026</x:v>
      </x:c>
      <x:c r="V972" s="9" t="str">
        <x:v>W_SKIRTS_AVGPAID_1700_1800_ANNUAL2026.xlsx / 默认 / 第48行 / SHA256 c25ed77c53c7c5cfcf728778a0e9b297d8689503f62756a939cbd534ca9b587a</x:v>
      </x:c>
    </x:row>
    <x:row r="973" ht="58" customHeight="1">
      <x:c r="A973" s="23" t="str">
        <x:v>1055580633550</x:v>
      </x:c>
      <x:c r="B973" s="22"/>
      <x:c r="C973" s="22"/>
      <x:c r="D973" s="22"/>
      <x:c r="E973" s="9" t="str">
        <x:v>裙长未明确</x:v>
      </x:c>
      <x:c r="F973" s="9" t="str">
        <x:v>裙装</x:v>
      </x:c>
      <x:c r="G973" s="9" t="str">
        <x:v>半身裙</x:v>
      </x:c>
      <x:c r="H973" s="9" t="str">
        <x:v>女</x:v>
      </x:c>
      <x:c r="I973" s="9" t="str">
        <x:v>壹旧原著【爆款复活】三季晨雾白皱感进口日晒干A字半裙8156-11B</x:v>
      </x:c>
      <x:c r="J973" s="9" t="str">
        <x:v>壹旧原著</x:v>
      </x:c>
      <x:c r="K973" s="24" t="n">
        <x:v>1598.22</x:v>
      </x:c>
      <x:c r="L973" s="25" t="e">
        <x:f>HYPERLINK("https://item.taobao.com/item.htm?id=1055580633550","打开商品")</x:f>
        <x:v>HYPERLINK is not implemented. linkLocation=https://item.taobao.com/item.htm?id=1055580633550, friendlyName=打开商品</x:v>
      </x:c>
      <x:c r="M973" s="25" t="e">
        <x:f>HYPERLINK("https://data.zhiyitech.cn/itemDetail/overview/base?itemId=1055580633550","打开知衣")</x:f>
        <x:v>HYPERLINK is not implemented. linkLocation=https://data.zhiyitech.cn/itemDetail/overview/base?itemId=1055580633550, friendlyName=打开知衣</x:v>
      </x:c>
      <x:c r="N973" s="25" t="e">
        <x:f>HYPERLINK("https://img.alicdn.com/bao/uploaded/i2/47270808/O1CN0160m0WP1Hq7AHbMDqE_!!47270808.jpg","查看主图")</x:f>
        <x:v>HYPERLINK is not implemented. linkLocation=https://img.alicdn.com/bao/uploaded/i2/47270808/O1CN0160m0WP1Hq7AHbMDqE_!!47270808.jpg, friendlyName=查看主图</x:v>
      </x:c>
      <x:c r="O973" s="9" t="str">
        <x:v>标题及既有类目语义复核；壹旧原著【爆款复活】三季晨雾白皱感进口日晒干A字半裙8156-11B；原类目及标题已能确认半身裙；展示使用已知大类，未知裙长下沉到结构字段，不强猜长短。</x:v>
      </x:c>
      <x:c r="P973" s="9" t="str">
        <x:v>普通男女装</x:v>
      </x:c>
      <x:c r="Q973" s="9" t="str">
        <x:v>W_SKIRTS_AVGPAID_1500_1600_ANNUAL2026.xlsx</x:v>
      </x:c>
      <x:c r="R973" s="9" t="str">
        <x:v>默认</x:v>
      </x:c>
      <x:c r="S973" s="9" t="n">
        <x:v>152</x:v>
      </x:c>
      <x:c r="T973" s="9" t="str">
        <x:v>deede8b56943df4f914be45dba170f12e69064023d6ef0e88dbde1764f6ba23e</x:v>
      </x:c>
      <x:c r="U973" s="9" t="str">
        <x:v>W_SKIRTS_AVGPAID_1500_1600_ANNUAL2026</x:v>
      </x:c>
      <x:c r="V973" s="9" t="str">
        <x:v>W_SKIRTS_AVGPAID_1500_1600_ANNUAL2026.xlsx / 默认 / 第152行 / SHA256 deede8b56943df4f914be45dba170f12e69064023d6ef0e88dbde1764f6ba23e</x:v>
      </x:c>
    </x:row>
    <x:row r="974" ht="58" customHeight="1">
      <x:c r="A974" s="23" t="str">
        <x:v>1069213585901</x:v>
      </x:c>
      <x:c r="B974" s="22"/>
      <x:c r="C974" s="22"/>
      <x:c r="D974" s="22"/>
      <x:c r="E974" s="9" t="str">
        <x:v>裙长未明确</x:v>
      </x:c>
      <x:c r="F974" s="9" t="str">
        <x:v>裙装</x:v>
      </x:c>
      <x:c r="G974" s="9" t="str">
        <x:v>半身裙</x:v>
      </x:c>
      <x:c r="H974" s="9" t="str">
        <x:v>女</x:v>
      </x:c>
      <x:c r="I974" s="9" t="str">
        <x:v>壹旧原著【民艺】夏款蔓黑色桑蚕丝雪纺轻薄透气廓形垂感半裙7801</x:v>
      </x:c>
      <x:c r="J974" s="9" t="str">
        <x:v>壹旧原著</x:v>
      </x:c>
      <x:c r="K974" s="24" t="n">
        <x:v>1728.98</x:v>
      </x:c>
      <x:c r="L974" s="25" t="e">
        <x:f>HYPERLINK("https://item.taobao.com/item.htm?id=1069213585901","打开商品")</x:f>
        <x:v>HYPERLINK is not implemented. linkLocation=https://item.taobao.com/item.htm?id=1069213585901, friendlyName=打开商品</x:v>
      </x:c>
      <x:c r="M974" s="25" t="e">
        <x:f>HYPERLINK("https://data.zhiyitech.cn/itemDetail/overview/base?itemId=1069213585901","打开知衣")</x:f>
        <x:v>HYPERLINK is not implemented. linkLocation=https://data.zhiyitech.cn/itemDetail/overview/base?itemId=1069213585901, friendlyName=打开知衣</x:v>
      </x:c>
      <x:c r="N974" s="25" t="e">
        <x:f>HYPERLINK("https://img.alicdn.com/bao/uploaded/i1/47270808/O1CN011GPYm4KUMSI2vH2e_!!47270808.jpg","查看主图")</x:f>
        <x:v>HYPERLINK is not implemented. linkLocation=https://img.alicdn.com/bao/uploaded/i1/47270808/O1CN011GPYm4KUMSI2vH2e_!!47270808.jpg, friendlyName=查看主图</x:v>
      </x:c>
      <x:c r="O974" s="9" t="str">
        <x:v>标题及既有类目语义复核；壹旧原著【民艺】夏款蔓黑色桑蚕丝雪纺轻薄透气廓形垂感半裙7801；原类目及标题已能确认半身裙；展示使用已知大类，未知裙长下沉到结构字段，不强猜长短。</x:v>
      </x:c>
      <x:c r="P974" s="9" t="str">
        <x:v>普通男女装</x:v>
      </x:c>
      <x:c r="Q974" s="9" t="str">
        <x:v>W_SKIRTS_AVGPAID_1700_1800_ANNUAL2026.xlsx</x:v>
      </x:c>
      <x:c r="R974" s="9" t="str">
        <x:v>默认</x:v>
      </x:c>
      <x:c r="S974" s="9" t="n">
        <x:v>105</x:v>
      </x:c>
      <x:c r="T974" s="9" t="str">
        <x:v>c25ed77c53c7c5cfcf728778a0e9b297d8689503f62756a939cbd534ca9b587a</x:v>
      </x:c>
      <x:c r="U974" s="9" t="str">
        <x:v>W_SKIRTS_AVGPAID_1700_1800_ANNUAL2026</x:v>
      </x:c>
      <x:c r="V974" s="9" t="str">
        <x:v>W_SKIRTS_AVGPAID_1700_1800_ANNUAL2026.xlsx / 默认 / 第105行 / SHA256 c25ed77c53c7c5cfcf728778a0e9b297d8689503f62756a939cbd534ca9b587a</x:v>
      </x:c>
    </x:row>
    <x:row r="975" ht="58" customHeight="1">
      <x:c r="A975" s="23" t="str">
        <x:v>1082767691709</x:v>
      </x:c>
      <x:c r="B975" s="22"/>
      <x:c r="C975" s="22"/>
      <x:c r="D975" s="22"/>
      <x:c r="E975" s="9" t="str">
        <x:v>裙长未明确</x:v>
      </x:c>
      <x:c r="F975" s="9" t="str">
        <x:v>裙装</x:v>
      </x:c>
      <x:c r="G975" s="9" t="str">
        <x:v>半身裙</x:v>
      </x:c>
      <x:c r="H975" s="9" t="str">
        <x:v>女</x:v>
      </x:c>
      <x:c r="I975" s="9" t="str">
        <x:v>壹旧原著【民艺】三季款黄色粗纱支亚麻宽松柿染抽绳半身裙3639-3</x:v>
      </x:c>
      <x:c r="J975" s="9" t="str">
        <x:v>壹旧原著</x:v>
      </x:c>
      <x:c r="K975" s="24" t="n">
        <x:v>1361.65</x:v>
      </x:c>
      <x:c r="L975" s="25" t="e">
        <x:f>HYPERLINK("https://item.taobao.com/item.htm?id=1082767691709","打开商品")</x:f>
        <x:v>HYPERLINK is not implemented. linkLocation=https://item.taobao.com/item.htm?id=1082767691709, friendlyName=打开商品</x:v>
      </x:c>
      <x:c r="M975" s="25" t="e">
        <x:f>HYPERLINK("https://data.zhiyitech.cn/itemDetail/overview/base?itemId=1082767691709","打开知衣")</x:f>
        <x:v>HYPERLINK is not implemented. linkLocation=https://data.zhiyitech.cn/itemDetail/overview/base?itemId=1082767691709, friendlyName=打开知衣</x:v>
      </x:c>
      <x:c r="N975" s="25" t="e">
        <x:f>HYPERLINK("https://img.alicdn.com/bao/uploaded/i1/47270808/O1CN0137mmZNvY8qJ2vH2e_!!47270808.jpg","查看主图")</x:f>
        <x:v>HYPERLINK is not implemented. linkLocation=https://img.alicdn.com/bao/uploaded/i1/47270808/O1CN0137mmZNvY8qJ2vH2e_!!47270808.jpg, friendlyName=查看主图</x:v>
      </x:c>
      <x:c r="O975" s="9" t="str">
        <x:v>标题及既有类目语义复核；壹旧原著【民艺】三季款黄色粗纱支亚麻宽松柿染抽绳半身裙3639-3；原类目及标题已能确认半身裙；展示使用已知大类，未知裙长下沉到结构字段，不强猜长短。</x:v>
      </x:c>
      <x:c r="P975" s="9" t="str">
        <x:v>普通男女装</x:v>
      </x:c>
      <x:c r="Q975" s="9" t="str">
        <x:v>W_SKIRTS_AVGPAID_1300_1400_ANNUAL2026.xlsx</x:v>
      </x:c>
      <x:c r="R975" s="9" t="str">
        <x:v>默认</x:v>
      </x:c>
      <x:c r="S975" s="9" t="n">
        <x:v>302</x:v>
      </x:c>
      <x:c r="T975" s="9" t="str">
        <x:v>bd4dae1e08e9eca7ddd0669235bf59107cdc418b9c2898fc16f36a7ab5748692</x:v>
      </x:c>
      <x:c r="U975" s="9" t="str">
        <x:v>W_SKIRTS_AVGPAID_1300_1400_ANNUAL2026</x:v>
      </x:c>
      <x:c r="V975" s="9" t="str">
        <x:v>W_SKIRTS_AVGPAID_1300_1400_ANNUAL2026.xlsx / 默认 / 第302行 / SHA256 bd4dae1e08e9eca7ddd0669235bf59107cdc418b9c2898fc16f36a7ab5748692</x:v>
      </x:c>
    </x:row>
    <x:row r="976" ht="58" customHeight="1">
      <x:c r="A976" s="23" t="str">
        <x:v>916110628974</x:v>
      </x:c>
      <x:c r="B976" s="22"/>
      <x:c r="C976" s="22"/>
      <x:c r="D976" s="22"/>
      <x:c r="E976" s="9" t="str">
        <x:v>裙长未明确</x:v>
      </x:c>
      <x:c r="F976" s="9" t="str">
        <x:v>裙装</x:v>
      </x:c>
      <x:c r="G976" s="9" t="str">
        <x:v>半身裙</x:v>
      </x:c>
      <x:c r="H976" s="9" t="str">
        <x:v>女</x:v>
      </x:c>
      <x:c r="I976" s="9" t="str">
        <x:v>壹旧原著粉紫色棉麻半身裙</x:v>
      </x:c>
      <x:c r="J976" s="9" t="str">
        <x:v>壹旧原著</x:v>
      </x:c>
      <x:c r="K976" s="24" t="n">
        <x:v>1780.31</x:v>
      </x:c>
      <x:c r="L976" s="25" t="e">
        <x:f>HYPERLINK("https://item.taobao.com/item.htm?id=916110628974","打开商品")</x:f>
        <x:v>HYPERLINK is not implemented. linkLocation=https://item.taobao.com/item.htm?id=916110628974, friendlyName=打开商品</x:v>
      </x:c>
      <x:c r="M976" s="25" t="e">
        <x:f>HYPERLINK("https://data.zhiyitech.cn/itemDetail/overview/base?itemId=916110628974","打开知衣")</x:f>
        <x:v>HYPERLINK is not implemented. linkLocation=https://data.zhiyitech.cn/itemDetail/overview/base?itemId=916110628974, friendlyName=打开知衣</x:v>
      </x:c>
      <x:c r="N976" s="25" t="e">
        <x:f>HYPERLINK("https://img.alicdn.com/bao/uploaded/i3/47270808/O1CN01YSJRR41Hq74VbyuYi_!!47270808.jpg","查看主图")</x:f>
        <x:v>HYPERLINK is not implemented. linkLocation=https://img.alicdn.com/bao/uploaded/i3/47270808/O1CN01YSJRR41Hq74VbyuYi_!!47270808.jpg, friendlyName=查看主图</x:v>
      </x:c>
      <x:c r="O976" s="9" t="str">
        <x:v>标题及既有类目语义复核；壹旧原著粉紫色棉麻半身裙；原类目及标题已能确认半身裙；展示使用已知大类，未知裙长下沉到结构字段，不强猜长短。</x:v>
      </x:c>
      <x:c r="P976" s="9" t="str">
        <x:v>普通男女装</x:v>
      </x:c>
      <x:c r="Q976" s="9" t="str">
        <x:v>W_SKIRTS_AVGPAID_1700_1800_ANNUAL2026.xlsx</x:v>
      </x:c>
      <x:c r="R976" s="9" t="str">
        <x:v>默认</x:v>
      </x:c>
      <x:c r="S976" s="9" t="n">
        <x:v>203</x:v>
      </x:c>
      <x:c r="T976" s="9" t="str">
        <x:v>c25ed77c53c7c5cfcf728778a0e9b297d8689503f62756a939cbd534ca9b587a</x:v>
      </x:c>
      <x:c r="U976" s="9" t="str">
        <x:v>W_SKIRTS_AVGPAID_1700_1800_ANNUAL2026</x:v>
      </x:c>
      <x:c r="V976" s="9" t="str">
        <x:v>W_SKIRTS_AVGPAID_1700_1800_ANNUAL2026.xlsx / 默认 / 第203行 / SHA256 c25ed77c53c7c5cfcf728778a0e9b297d8689503f62756a939cbd534ca9b587a</x:v>
      </x:c>
    </x:row>
    <x:row r="977" ht="58" customHeight="1">
      <x:c r="A977" s="23" t="str">
        <x:v>944147683400</x:v>
      </x:c>
      <x:c r="B977" s="22"/>
      <x:c r="C977" s="22"/>
      <x:c r="D977" s="22"/>
      <x:c r="E977" s="9" t="str">
        <x:v>裙长未明确</x:v>
      </x:c>
      <x:c r="F977" s="9" t="str">
        <x:v>裙装</x:v>
      </x:c>
      <x:c r="G977" s="9" t="str">
        <x:v>半身裙</x:v>
      </x:c>
      <x:c r="H977" s="9" t="str">
        <x:v>女</x:v>
      </x:c>
      <x:c r="I977" s="9" t="str">
        <x:v>壹旧原著【民艺】夏款素麻色肌理感透气柔美古董半裙9384</x:v>
      </x:c>
      <x:c r="J977" s="9" t="str">
        <x:v>壹旧原著</x:v>
      </x:c>
      <x:c r="K977" s="24" t="n">
        <x:v>1755.32</x:v>
      </x:c>
      <x:c r="L977" s="25" t="e">
        <x:f>HYPERLINK("https://item.taobao.com/item.htm?id=944147683400","打开商品")</x:f>
        <x:v>HYPERLINK is not implemented. linkLocation=https://item.taobao.com/item.htm?id=944147683400, friendlyName=打开商品</x:v>
      </x:c>
      <x:c r="M977" s="25" t="e">
        <x:f>HYPERLINK("https://data.zhiyitech.cn/itemDetail/overview/base?itemId=944147683400","打开知衣")</x:f>
        <x:v>HYPERLINK is not implemented. linkLocation=https://data.zhiyitech.cn/itemDetail/overview/base?itemId=944147683400, friendlyName=打开知衣</x:v>
      </x:c>
      <x:c r="N977" s="25" t="e">
        <x:f>HYPERLINK("https://img.alicdn.com/bao/uploaded/i3/47270808/O1CN01C1bWZB1Hq75cpJ3DX_!!47270808.jpg","查看主图")</x:f>
        <x:v>HYPERLINK is not implemented. linkLocation=https://img.alicdn.com/bao/uploaded/i3/47270808/O1CN01C1bWZB1Hq75cpJ3DX_!!47270808.jpg, friendlyName=查看主图</x:v>
      </x:c>
      <x:c r="O977" s="9" t="str">
        <x:v>标题及既有类目语义复核；壹旧原著【民艺】夏款素麻色肌理感透气柔美古董半裙9384；原类目及标题已能确认半身裙；展示使用已知大类，未知裙长下沉到结构字段，不强猜长短。</x:v>
      </x:c>
      <x:c r="P977" s="9" t="str">
        <x:v>普通男女装</x:v>
      </x:c>
      <x:c r="Q977" s="9" t="str">
        <x:v>W_SKIRTS_AVGPAID_1700_1800_ANNUAL2026.xlsx</x:v>
      </x:c>
      <x:c r="R977" s="9" t="str">
        <x:v>默认</x:v>
      </x:c>
      <x:c r="S977" s="9" t="n">
        <x:v>486</x:v>
      </x:c>
      <x:c r="T977" s="9" t="str">
        <x:v>c25ed77c53c7c5cfcf728778a0e9b297d8689503f62756a939cbd534ca9b587a</x:v>
      </x:c>
      <x:c r="U977" s="9" t="str">
        <x:v>W_SKIRTS_AVGPAID_1700_1800_ANNUAL2026</x:v>
      </x:c>
      <x:c r="V977" s="9" t="str">
        <x:v>W_SKIRTS_AVGPAID_1700_1800_ANNUAL2026.xlsx / 默认 / 第486行 / SHA256 c25ed77c53c7c5cfcf728778a0e9b297d8689503f62756a939cbd534ca9b587a</x:v>
      </x:c>
    </x:row>
    <x:row r="978" ht="58" customHeight="1">
      <x:c r="A978" s="23" t="str">
        <x:v>798187724648</x:v>
      </x:c>
      <x:c r="B978" s="22"/>
      <x:c r="C978" s="22"/>
      <x:c r="D978" s="22"/>
      <x:c r="E978" s="9" t="str">
        <x:v>裙长未明确</x:v>
      </x:c>
      <x:c r="F978" s="9" t="str">
        <x:v>裙装</x:v>
      </x:c>
      <x:c r="G978" s="9" t="str">
        <x:v>半身裙</x:v>
      </x:c>
      <x:c r="H978" s="9" t="str">
        <x:v>女</x:v>
      </x:c>
      <x:c r="I978" s="9" t="str">
        <x:v>如意连云夏装新款真丝欧根纱绣花半身裙女新中式国风复古马面裙子</x:v>
      </x:c>
      <x:c r="J978" s="9" t="str">
        <x:v>如意连云</x:v>
      </x:c>
      <x:c r="K978" s="24" t="n">
        <x:v>1350.2</x:v>
      </x:c>
      <x:c r="L978" s="25" t="e">
        <x:f>HYPERLINK("https://item.taobao.com/item.htm?id=798187724648","打开商品")</x:f>
        <x:v>HYPERLINK is not implemented. linkLocation=https://item.taobao.com/item.htm?id=798187724648, friendlyName=打开商品</x:v>
      </x:c>
      <x:c r="M978" s="25" t="e">
        <x:f>HYPERLINK("https://data.zhiyitech.cn/itemDetail/overview/base?itemId=798187724648","打开知衣")</x:f>
        <x:v>HYPERLINK is not implemented. linkLocation=https://data.zhiyitech.cn/itemDetail/overview/base?itemId=798187724648, friendlyName=打开知衣</x:v>
      </x:c>
      <x:c r="N978" s="25" t="e">
        <x:f>HYPERLINK("https://img.alicdn.com/bao/uploaded/i4/441741907/O1CN01MK01CO1PxSFmuoIh6_!!441741907.jpg","查看主图")</x:f>
        <x:v>HYPERLINK is not implemented. linkLocation=https://img.alicdn.com/bao/uploaded/i4/441741907/O1CN01MK01CO1PxSFmuoIh6_!!441741907.jpg, friendlyName=查看主图</x:v>
      </x:c>
      <x:c r="O978" s="9" t="str">
        <x:v>标题及既有类目语义复核；如意连云夏装新款真丝欧根纱绣花半身裙女新中式国风复古马面裙子；原类目及标题已能确认半身裙；展示使用已知大类，未知裙长下沉到结构字段，不强猜长短。</x:v>
      </x:c>
      <x:c r="P978" s="9" t="str">
        <x:v>普通男女装</x:v>
      </x:c>
      <x:c r="Q978" s="9" t="str">
        <x:v>W_SKIRTS_AVGPAID_1300_1400_ANNUAL2026.xlsx</x:v>
      </x:c>
      <x:c r="R978" s="9" t="str">
        <x:v>默认</x:v>
      </x:c>
      <x:c r="S978" s="9" t="n">
        <x:v>146</x:v>
      </x:c>
      <x:c r="T978" s="9" t="str">
        <x:v>bd4dae1e08e9eca7ddd0669235bf59107cdc418b9c2898fc16f36a7ab5748692</x:v>
      </x:c>
      <x:c r="U978" s="9" t="str">
        <x:v>W_SKIRTS_AVGPAID_1300_1400_ANNUAL2026</x:v>
      </x:c>
      <x:c r="V978" s="9" t="str">
        <x:v>W_SKIRTS_AVGPAID_1300_1400_ANNUAL2026.xlsx / 默认 / 第146行 / SHA256 bd4dae1e08e9eca7ddd0669235bf59107cdc418b9c2898fc16f36a7ab5748692</x:v>
      </x:c>
    </x:row>
    <x:row r="979" ht="58" customHeight="1">
      <x:c r="A979" s="23" t="str">
        <x:v>960809968883</x:v>
      </x:c>
      <x:c r="B979" s="22"/>
      <x:c r="C979" s="22"/>
      <x:c r="D979" s="22"/>
      <x:c r="E979" s="9" t="str">
        <x:v>裙长未明确</x:v>
      </x:c>
      <x:c r="F979" s="9" t="str">
        <x:v>裙装</x:v>
      </x:c>
      <x:c r="G979" s="9" t="str">
        <x:v>半身裙</x:v>
      </x:c>
      <x:c r="H979" s="9" t="str">
        <x:v>女</x:v>
      </x:c>
      <x:c r="I979" s="9" t="str">
        <x:v>密扇秋季新款抽皱丝绒亮片半裙</x:v>
      </x:c>
      <x:c r="J979" s="9" t="str">
        <x:v>密扇</x:v>
      </x:c>
      <x:c r="K979" s="24" t="n">
        <x:v>1313.73</x:v>
      </x:c>
      <x:c r="L979" s="25" t="e">
        <x:f>HYPERLINK("https://item.taobao.com/item.htm?id=960809968883","打开商品")</x:f>
        <x:v>HYPERLINK is not implemented. linkLocation=https://item.taobao.com/item.htm?id=960809968883, friendlyName=打开商品</x:v>
      </x:c>
      <x:c r="M979" s="25" t="e">
        <x:f>HYPERLINK("https://data.zhiyitech.cn/itemDetail/overview/base?itemId=960809968883","打开知衣")</x:f>
        <x:v>HYPERLINK is not implemented. linkLocation=https://data.zhiyitech.cn/itemDetail/overview/base?itemId=960809968883, friendlyName=打开知衣</x:v>
      </x:c>
      <x:c r="N979" s="25" t="e">
        <x:f>HYPERLINK("https://img.alicdn.com/bao/uploaded/i2/2215095563/O1CN01vUPk3I1qxuOQIvlUk_!!4611686018427383051-0-item_pic.jpg","查看主图")</x:f>
        <x:v>HYPERLINK is not implemented. linkLocation=https://img.alicdn.com/bao/uploaded/i2/2215095563/O1CN01vUPk3I1qxuOQIvlUk_!!4611686018427383051-0-item_pic.jpg, friendlyName=查看主图</x:v>
      </x:c>
      <x:c r="O979" s="9" t="str">
        <x:v>标题及既有类目语义复核；密扇秋季新款抽皱丝绒亮片半裙；原类目及标题已能确认半身裙；展示使用已知大类，未知裙长下沉到结构字段，不强猜长短。</x:v>
      </x:c>
      <x:c r="P979" s="9" t="str">
        <x:v>普通男女装</x:v>
      </x:c>
      <x:c r="Q979" s="9" t="str">
        <x:v>W_SKIRTS_AVGPAID_1300_1400_ANNUAL2026.xlsx</x:v>
      </x:c>
      <x:c r="R979" s="9" t="str">
        <x:v>默认</x:v>
      </x:c>
      <x:c r="S979" s="9" t="n">
        <x:v>418</x:v>
      </x:c>
      <x:c r="T979" s="9" t="str">
        <x:v>bd4dae1e08e9eca7ddd0669235bf59107cdc418b9c2898fc16f36a7ab5748692</x:v>
      </x:c>
      <x:c r="U979" s="9" t="str">
        <x:v>W_SKIRTS_AVGPAID_1300_1400_ANNUAL2026</x:v>
      </x:c>
      <x:c r="V979" s="9" t="str">
        <x:v>W_SKIRTS_AVGPAID_1300_1400_ANNUAL2026.xlsx / 默认 / 第418行 / SHA256 bd4dae1e08e9eca7ddd0669235bf59107cdc418b9c2898fc16f36a7ab5748692</x:v>
      </x:c>
    </x:row>
    <x:row r="980" ht="58" customHeight="1">
      <x:c r="A980" s="23" t="str">
        <x:v>1020889300631</x:v>
      </x:c>
      <x:c r="B980" s="22"/>
      <x:c r="C980" s="22"/>
      <x:c r="D980" s="22"/>
      <x:c r="E980" s="9" t="str">
        <x:v>裙长未明确</x:v>
      </x:c>
      <x:c r="F980" s="9" t="str">
        <x:v>裙装</x:v>
      </x:c>
      <x:c r="G980" s="9" t="str">
        <x:v>半身裙</x:v>
      </x:c>
      <x:c r="H980" s="9" t="str">
        <x:v>女</x:v>
      </x:c>
      <x:c r="I980" s="9" t="str">
        <x:v>寺山文也 淑鹂/37MM真丝弹力重乔半身裙女春秋立体分割通勤鱼尾裙</x:v>
      </x:c>
      <x:c r="J980" s="9" t="str">
        <x:v>寺山文也</x:v>
      </x:c>
      <x:c r="K980" s="24" t="n">
        <x:v>1529.43</x:v>
      </x:c>
      <x:c r="L980" s="25" t="e">
        <x:f>HYPERLINK("https://item.taobao.com/item.htm?id=1020889300631","打开商品")</x:f>
        <x:v>HYPERLINK is not implemented. linkLocation=https://item.taobao.com/item.htm?id=1020889300631, friendlyName=打开商品</x:v>
      </x:c>
      <x:c r="M980" s="25" t="e">
        <x:f>HYPERLINK("https://data.zhiyitech.cn/itemDetail/overview/base?itemId=1020889300631","打开知衣")</x:f>
        <x:v>HYPERLINK is not implemented. linkLocation=https://data.zhiyitech.cn/itemDetail/overview/base?itemId=1020889300631, friendlyName=打开知衣</x:v>
      </x:c>
      <x:c r="N980" s="25" t="e">
        <x:f>HYPERLINK("https://img.alicdn.com/bao/uploaded/i1/49972198/O1CN01KZWxVEn9bRF2vH2e_!!49972198.jpg","查看主图")</x:f>
        <x:v>HYPERLINK is not implemented. linkLocation=https://img.alicdn.com/bao/uploaded/i1/49972198/O1CN01KZWxVEn9bRF2vH2e_!!49972198.jpg, friendlyName=查看主图</x:v>
      </x:c>
      <x:c r="O980" s="9" t="str">
        <x:v>标题及既有类目语义复核；寺山文也 淑鹂/37MM真丝弹力重乔半身裙女春秋立体分割通勤鱼尾裙；原类目及标题已能确认半身裙；展示使用已知大类，未知裙长下沉到结构字段，不强猜长短。</x:v>
      </x:c>
      <x:c r="P980" s="9" t="str">
        <x:v>普通男女装</x:v>
      </x:c>
      <x:c r="Q980" s="9" t="str">
        <x:v>W_SKIRTS_AVGPAID_1500_1600_ANNUAL2026.xlsx</x:v>
      </x:c>
      <x:c r="R980" s="9" t="str">
        <x:v>默认</x:v>
      </x:c>
      <x:c r="S980" s="9" t="n">
        <x:v>211</x:v>
      </x:c>
      <x:c r="T980" s="9" t="str">
        <x:v>deede8b56943df4f914be45dba170f12e69064023d6ef0e88dbde1764f6ba23e</x:v>
      </x:c>
      <x:c r="U980" s="9" t="str">
        <x:v>W_SKIRTS_AVGPAID_1500_1600_ANNUAL2026</x:v>
      </x:c>
      <x:c r="V980" s="9" t="str">
        <x:v>W_SKIRTS_AVGPAID_1500_1600_ANNUAL2026.xlsx / 默认 / 第211行 / SHA256 deede8b56943df4f914be45dba170f12e69064023d6ef0e88dbde1764f6ba23e</x:v>
      </x:c>
    </x:row>
    <x:row r="981" ht="58" customHeight="1">
      <x:c r="A981" s="23" t="str">
        <x:v>738407559151</x:v>
      </x:c>
      <x:c r="B981" s="22"/>
      <x:c r="C981" s="22"/>
      <x:c r="D981" s="22"/>
      <x:c r="E981" s="9" t="str">
        <x:v>裙长未明确</x:v>
      </x:c>
      <x:c r="F981" s="9" t="str">
        <x:v>裙装</x:v>
      </x:c>
      <x:c r="G981" s="9" t="str">
        <x:v>半身裙</x:v>
      </x:c>
      <x:c r="H981" s="9" t="str">
        <x:v>女</x:v>
      </x:c>
      <x:c r="I981" s="9" t="str">
        <x:v>寺山文也 珊影/43姆米重磅斜纹丝毛通勤西装套装女春秋字半身裙</x:v>
      </x:c>
      <x:c r="J981" s="9" t="str">
        <x:v>寺山文也</x:v>
      </x:c>
      <x:c r="K981" s="24" t="n">
        <x:v>1331.72</x:v>
      </x:c>
      <x:c r="L981" s="25" t="e">
        <x:f>HYPERLINK("https://item.taobao.com/item.htm?id=738407559151","打开商品")</x:f>
        <x:v>HYPERLINK is not implemented. linkLocation=https://item.taobao.com/item.htm?id=738407559151, friendlyName=打开商品</x:v>
      </x:c>
      <x:c r="M981" s="25" t="e">
        <x:f>HYPERLINK("https://data.zhiyitech.cn/itemDetail/overview/base?itemId=738407559151","打开知衣")</x:f>
        <x:v>HYPERLINK is not implemented. linkLocation=https://data.zhiyitech.cn/itemDetail/overview/base?itemId=738407559151, friendlyName=打开知衣</x:v>
      </x:c>
      <x:c r="N981" s="25" t="e">
        <x:f>HYPERLINK("https://img.alicdn.com/bao/uploaded/i1/49972198/O1CN01vfWC3DDF7ND1chua_!!49972198.jpg","查看主图")</x:f>
        <x:v>HYPERLINK is not implemented. linkLocation=https://img.alicdn.com/bao/uploaded/i1/49972198/O1CN01vfWC3DDF7ND1chua_!!49972198.jpg, friendlyName=查看主图</x:v>
      </x:c>
      <x:c r="O981" s="9" t="str">
        <x:v>标题及既有类目语义复核；寺山文也 珊影/43姆米重磅斜纹丝毛通勤西装套装女春秋字半身裙；原类目及标题已能确认半身裙；展示使用已知大类，未知裙长下沉到结构字段，不强猜长短。</x:v>
      </x:c>
      <x:c r="P981" s="9" t="str">
        <x:v>普通男女装</x:v>
      </x:c>
      <x:c r="Q981" s="9" t="str">
        <x:v>W_SKIRTS_AVGPAID_1300_1400_ANNUAL2026.xlsx</x:v>
      </x:c>
      <x:c r="R981" s="9" t="str">
        <x:v>默认</x:v>
      </x:c>
      <x:c r="S981" s="9" t="n">
        <x:v>355</x:v>
      </x:c>
      <x:c r="T981" s="9" t="str">
        <x:v>bd4dae1e08e9eca7ddd0669235bf59107cdc418b9c2898fc16f36a7ab5748692</x:v>
      </x:c>
      <x:c r="U981" s="9" t="str">
        <x:v>W_SKIRTS_AVGPAID_1300_1400_ANNUAL2026</x:v>
      </x:c>
      <x:c r="V981" s="9" t="str">
        <x:v>W_SKIRTS_AVGPAID_1300_1400_ANNUAL2026.xlsx / 默认 / 第355行 / SHA256 bd4dae1e08e9eca7ddd0669235bf59107cdc418b9c2898fc16f36a7ab5748692</x:v>
      </x:c>
    </x:row>
    <x:row r="982" ht="58" customHeight="1">
      <x:c r="A982" s="23" t="str">
        <x:v>903261721741</x:v>
      </x:c>
      <x:c r="B982" s="22"/>
      <x:c r="C982" s="22"/>
      <x:c r="D982" s="22"/>
      <x:c r="E982" s="9" t="str">
        <x:v>裙长未明确</x:v>
      </x:c>
      <x:c r="F982" s="9" t="str">
        <x:v>裙装</x:v>
      </x:c>
      <x:c r="G982" s="9" t="str">
        <x:v>半身裙</x:v>
      </x:c>
      <x:c r="H982" s="9" t="str">
        <x:v>女</x:v>
      </x:c>
      <x:c r="I982" s="9" t="str">
        <x:v>雅令[系列] 卷涟/温柔高雅优雅气质真丝羊毛盈盈珠光打褶伞裙夏女</x:v>
      </x:c>
      <x:c r="J982" s="9" t="str">
        <x:v>寺山文也</x:v>
      </x:c>
      <x:c r="K982" s="24" t="n">
        <x:v>1582.69</x:v>
      </x:c>
      <x:c r="L982" s="25" t="e">
        <x:f>HYPERLINK("https://item.taobao.com/item.htm?id=903261721741","打开商品")</x:f>
        <x:v>HYPERLINK is not implemented. linkLocation=https://item.taobao.com/item.htm?id=903261721741, friendlyName=打开商品</x:v>
      </x:c>
      <x:c r="M982" s="25" t="e">
        <x:f>HYPERLINK("https://data.zhiyitech.cn/itemDetail/overview/base?itemId=903261721741","打开知衣")</x:f>
        <x:v>HYPERLINK is not implemented. linkLocation=https://data.zhiyitech.cn/itemDetail/overview/base?itemId=903261721741, friendlyName=打开知衣</x:v>
      </x:c>
      <x:c r="N982" s="25" t="e">
        <x:f>HYPERLINK("https://img.alicdn.com/bao/uploaded/i2/49972198/O1CN01WMsghYRkDHG1chua_!!49972198.jpg","查看主图")</x:f>
        <x:v>HYPERLINK is not implemented. linkLocation=https://img.alicdn.com/bao/uploaded/i2/49972198/O1CN01WMsghYRkDHG1chua_!!49972198.jpg, friendlyName=查看主图</x:v>
      </x:c>
      <x:c r="O982" s="9" t="str">
        <x:v>标题及既有类目语义复核；雅令[系列] 卷涟/温柔高雅优雅气质真丝羊毛盈盈珠光打褶伞裙夏女；原类目及标题已能确认半身裙；展示使用已知大类，未知裙长下沉到结构字段，不强猜长短。</x:v>
      </x:c>
      <x:c r="P982" s="9" t="str">
        <x:v>普通男女装</x:v>
      </x:c>
      <x:c r="Q982" s="9" t="str">
        <x:v>W_SKIRTS_AVGPAID_1500_1600_ANNUAL2026.xlsx</x:v>
      </x:c>
      <x:c r="R982" s="9" t="str">
        <x:v>默认</x:v>
      </x:c>
      <x:c r="S982" s="9" t="n">
        <x:v>145</x:v>
      </x:c>
      <x:c r="T982" s="9" t="str">
        <x:v>deede8b56943df4f914be45dba170f12e69064023d6ef0e88dbde1764f6ba23e</x:v>
      </x:c>
      <x:c r="U982" s="9" t="str">
        <x:v>W_SKIRTS_AVGPAID_1500_1600_ANNUAL2026</x:v>
      </x:c>
      <x:c r="V982" s="9" t="str">
        <x:v>W_SKIRTS_AVGPAID_1500_1600_ANNUAL2026.xlsx / 默认 / 第145行 / SHA256 deede8b56943df4f914be45dba170f12e69064023d6ef0e88dbde1764f6ba23e</x:v>
      </x:c>
    </x:row>
    <x:row r="983" ht="58" customHeight="1">
      <x:c r="A983" s="23" t="str">
        <x:v>986446756662</x:v>
      </x:c>
      <x:c r="B983" s="22"/>
      <x:c r="C983" s="22"/>
      <x:c r="D983" s="22"/>
      <x:c r="E983" s="9" t="str">
        <x:v>裙长未明确</x:v>
      </x:c>
      <x:c r="F983" s="9" t="str">
        <x:v>裙装</x:v>
      </x:c>
      <x:c r="G983" s="9" t="str">
        <x:v>半身裙</x:v>
      </x:c>
      <x:c r="H983" s="9" t="str">
        <x:v>女</x:v>
      </x:c>
      <x:c r="I983" s="9" t="str">
        <x:v>小虫勃艮第红"百褶皮裙"进口绵羊皮24片立裁灵动大摆半身裙伞裙</x:v>
      </x:c>
      <x:c r="J983" s="9" t="str">
        <x:v>小虫</x:v>
      </x:c>
      <x:c r="K983" s="24" t="n">
        <x:v>1744.43</x:v>
      </x:c>
      <x:c r="L983" s="25" t="e">
        <x:f>HYPERLINK("https://item.taobao.com/item.htm?id=986446756662","打开商品")</x:f>
        <x:v>HYPERLINK is not implemented. linkLocation=https://item.taobao.com/item.htm?id=986446756662, friendlyName=打开商品</x:v>
      </x:c>
      <x:c r="M983" s="25" t="e">
        <x:f>HYPERLINK("https://data.zhiyitech.cn/itemDetail/overview/base?itemId=986446756662","打开知衣")</x:f>
        <x:v>HYPERLINK is not implemented. linkLocation=https://data.zhiyitech.cn/itemDetail/overview/base?itemId=986446756662, friendlyName=打开知衣</x:v>
      </x:c>
      <x:c r="N983" s="25" t="e">
        <x:f>HYPERLINK("https://img.alicdn.com/i1/12375520/O1CN01b1WUCJ1qeDNcy23pA_!!12375520.jpg","查看主图")</x:f>
        <x:v>HYPERLINK is not implemented. linkLocation=https://img.alicdn.com/i1/12375520/O1CN01b1WUCJ1qeDNcy23pA_!!12375520.jpg, friendlyName=查看主图</x:v>
      </x:c>
      <x:c r="O983" s="9" t="str">
        <x:v>标题及既有类目语义复核；小虫勃艮第红"百褶皮裙"进口绵羊皮24片立裁灵动大摆半身裙伞裙；原类目及标题已能确认半身裙；展示使用已知大类，未知裙长下沉到结构字段，不强猜长短。</x:v>
      </x:c>
      <x:c r="P983" s="9" t="str">
        <x:v>普通男女装</x:v>
      </x:c>
      <x:c r="Q983" s="9" t="str">
        <x:v>W_SKIRTS_AVGPAID_1700_1800_ANNUAL2026.xlsx</x:v>
      </x:c>
      <x:c r="R983" s="9" t="str">
        <x:v>默认</x:v>
      </x:c>
      <x:c r="S983" s="9" t="n">
        <x:v>186</x:v>
      </x:c>
      <x:c r="T983" s="9" t="str">
        <x:v>c25ed77c53c7c5cfcf728778a0e9b297d8689503f62756a939cbd534ca9b587a</x:v>
      </x:c>
      <x:c r="U983" s="9" t="str">
        <x:v>W_SKIRTS_AVGPAID_1700_1800_ANNUAL2026</x:v>
      </x:c>
      <x:c r="V983" s="9" t="str">
        <x:v>W_SKIRTS_AVGPAID_1700_1800_ANNUAL2026.xlsx / 默认 / 第186行 / SHA256 c25ed77c53c7c5cfcf728778a0e9b297d8689503f62756a939cbd534ca9b587a</x:v>
      </x:c>
    </x:row>
    <x:row r="984" ht="58" customHeight="1">
      <x:c r="A984" s="23" t="str">
        <x:v>765566907312</x:v>
      </x:c>
      <x:c r="B984" s="22"/>
      <x:c r="C984" s="22"/>
      <x:c r="D984" s="22"/>
      <x:c r="E984" s="9" t="str">
        <x:v>裙长未明确</x:v>
      </x:c>
      <x:c r="F984" s="9" t="str">
        <x:v>裙装</x:v>
      </x:c>
      <x:c r="G984" s="9" t="str">
        <x:v>半身裙</x:v>
      </x:c>
      <x:c r="H984" s="9" t="str">
        <x:v>女</x:v>
      </x:c>
      <x:c r="I984" s="9" t="str">
        <x:v>【Xodgz定制】长度由你定义 重磅真丝山羊绒百搭百褶小黑裙半身裙</x:v>
      </x:c>
      <x:c r="J984" s="9" t="str">
        <x:v>小鸥的柜子</x:v>
      </x:c>
      <x:c r="K984" s="24" t="n">
        <x:v>1360.96</x:v>
      </x:c>
      <x:c r="L984" s="25" t="e">
        <x:f>HYPERLINK("https://item.taobao.com/item.htm?id=765566907312","打开商品")</x:f>
        <x:v>HYPERLINK is not implemented. linkLocation=https://item.taobao.com/item.htm?id=765566907312, friendlyName=打开商品</x:v>
      </x:c>
      <x:c r="M984" s="25" t="e">
        <x:f>HYPERLINK("https://data.zhiyitech.cn/itemDetail/overview/base?itemId=765566907312","打开知衣")</x:f>
        <x:v>HYPERLINK is not implemented. linkLocation=https://data.zhiyitech.cn/itemDetail/overview/base?itemId=765566907312, friendlyName=打开知衣</x:v>
      </x:c>
      <x:c r="N984" s="25" t="e">
        <x:f>HYPERLINK("https://img.alicdn.com/bao/uploaded/i1/40368206/O1CN01MRjXhR2AUP2RlJqH0_!!40368206.jpg","查看主图")</x:f>
        <x:v>HYPERLINK is not implemented. linkLocation=https://img.alicdn.com/bao/uploaded/i1/40368206/O1CN01MRjXhR2AUP2RlJqH0_!!40368206.jpg, friendlyName=查看主图</x:v>
      </x:c>
      <x:c r="O984" s="9" t="str">
        <x:v>标题及既有类目语义复核；【Xodgz定制】长度由你定义 重磅真丝山羊绒百搭百褶小黑裙半身裙；原类目及标题已能确认半身裙；展示使用已知大类，未知裙长下沉到结构字段，不强猜长短。</x:v>
      </x:c>
      <x:c r="P984" s="9" t="str">
        <x:v>普通男女装</x:v>
      </x:c>
      <x:c r="Q984" s="9" t="str">
        <x:v>W_SKIRTS_AVGPAID_1300_1400_ANNUAL2026.xlsx</x:v>
      </x:c>
      <x:c r="R984" s="9" t="str">
        <x:v>默认</x:v>
      </x:c>
      <x:c r="S984" s="9" t="n">
        <x:v>322</x:v>
      </x:c>
      <x:c r="T984" s="9" t="str">
        <x:v>bd4dae1e08e9eca7ddd0669235bf59107cdc418b9c2898fc16f36a7ab5748692</x:v>
      </x:c>
      <x:c r="U984" s="9" t="str">
        <x:v>W_SKIRTS_AVGPAID_1300_1400_ANNUAL2026</x:v>
      </x:c>
      <x:c r="V984" s="9" t="str">
        <x:v>W_SKIRTS_AVGPAID_1300_1400_ANNUAL2026.xlsx / 默认 / 第322行 / SHA256 bd4dae1e08e9eca7ddd0669235bf59107cdc418b9c2898fc16f36a7ab5748692</x:v>
      </x:c>
    </x:row>
    <x:row r="985" ht="58" customHeight="1">
      <x:c r="A985" s="23" t="str">
        <x:v>658347741400</x:v>
      </x:c>
      <x:c r="B985" s="22"/>
      <x:c r="C985" s="22"/>
      <x:c r="D985" s="22"/>
      <x:c r="E985" s="9" t="str">
        <x:v>裙长未明确</x:v>
      </x:c>
      <x:c r="F985" s="9" t="str">
        <x:v>裙装</x:v>
      </x:c>
      <x:c r="G985" s="9" t="str">
        <x:v>半身裙</x:v>
      </x:c>
      <x:c r="H985" s="9" t="str">
        <x:v>女</x:v>
      </x:c>
      <x:c r="I985" s="9" t="str">
        <x:v>左岸迷香原创设计亚麻双层植物染半裙休闲半身裙 25SSW047</x:v>
      </x:c>
      <x:c r="J985" s="9" t="str">
        <x:v>左岸迷香</x:v>
      </x:c>
      <x:c r="K985" s="24" t="n">
        <x:v>1786.78</x:v>
      </x:c>
      <x:c r="L985" s="25" t="e">
        <x:f>HYPERLINK("https://item.taobao.com/item.htm?id=658347741400","打开商品")</x:f>
        <x:v>HYPERLINK is not implemented. linkLocation=https://item.taobao.com/item.htm?id=658347741400, friendlyName=打开商品</x:v>
      </x:c>
      <x:c r="M985" s="25" t="e">
        <x:f>HYPERLINK("https://data.zhiyitech.cn/itemDetail/overview/base?itemId=658347741400","打开知衣")</x:f>
        <x:v>HYPERLINK is not implemented. linkLocation=https://data.zhiyitech.cn/itemDetail/overview/base?itemId=658347741400, friendlyName=打开知衣</x:v>
      </x:c>
      <x:c r="N985" s="25" t="e">
        <x:f>HYPERLINK("https://img.alicdn.com/bao/uploaded/i1/95954336/O1CN01x35mR51htw3PYb2OR_!!95954336.jpg","查看主图")</x:f>
        <x:v>HYPERLINK is not implemented. linkLocation=https://img.alicdn.com/bao/uploaded/i1/95954336/O1CN01x35mR51htw3PYb2OR_!!95954336.jpg, friendlyName=查看主图</x:v>
      </x:c>
      <x:c r="O985" s="9" t="str">
        <x:v>标题及既有类目语义复核；左岸迷香原创设计亚麻双层植物染半裙休闲半身裙 25SSW047；原类目及标题已能确认半身裙；展示使用已知大类，未知裙长下沉到结构字段，不强猜长短。</x:v>
      </x:c>
      <x:c r="P985" s="9" t="str">
        <x:v>普通男女装</x:v>
      </x:c>
      <x:c r="Q985" s="9" t="str">
        <x:v>W_SKIRTS_AVGPAID_1700_1800_ANNUAL2026.xlsx</x:v>
      </x:c>
      <x:c r="R985" s="9" t="str">
        <x:v>默认</x:v>
      </x:c>
      <x:c r="S985" s="9" t="n">
        <x:v>194</x:v>
      </x:c>
      <x:c r="T985" s="9" t="str">
        <x:v>c25ed77c53c7c5cfcf728778a0e9b297d8689503f62756a939cbd534ca9b587a</x:v>
      </x:c>
      <x:c r="U985" s="9" t="str">
        <x:v>W_SKIRTS_AVGPAID_1700_1800_ANNUAL2026</x:v>
      </x:c>
      <x:c r="V985" s="9" t="str">
        <x:v>W_SKIRTS_AVGPAID_1700_1800_ANNUAL2026.xlsx / 默认 / 第194行 / SHA256 c25ed77c53c7c5cfcf728778a0e9b297d8689503f62756a939cbd534ca9b587a</x:v>
      </x:c>
    </x:row>
    <x:row r="986" ht="58" customHeight="1">
      <x:c r="A986" s="23" t="str">
        <x:v>704659688299</x:v>
      </x:c>
      <x:c r="B986" s="22"/>
      <x:c r="C986" s="22"/>
      <x:c r="D986" s="22"/>
      <x:c r="E986" s="9" t="str">
        <x:v>裙长未明确</x:v>
      </x:c>
      <x:c r="F986" s="9" t="str">
        <x:v>裙装</x:v>
      </x:c>
      <x:c r="G986" s="9" t="str">
        <x:v>半身裙</x:v>
      </x:c>
      <x:c r="H986" s="9" t="str">
        <x:v>女</x:v>
      </x:c>
      <x:c r="I986" s="9" t="str">
        <x:v>左岸迷香原创设计羊毛混纺拼接半裙 秋冬半身裙22FW2010</x:v>
      </x:c>
      <x:c r="J986" s="9" t="str">
        <x:v>左岸迷香</x:v>
      </x:c>
      <x:c r="K986" s="24" t="n">
        <x:v>1735.31</x:v>
      </x:c>
      <x:c r="L986" s="25" t="e">
        <x:f>HYPERLINK("https://item.taobao.com/item.htm?id=704659688299","打开商品")</x:f>
        <x:v>HYPERLINK is not implemented. linkLocation=https://item.taobao.com/item.htm?id=704659688299, friendlyName=打开商品</x:v>
      </x:c>
      <x:c r="M986" s="25" t="e">
        <x:f>HYPERLINK("https://data.zhiyitech.cn/itemDetail/overview/base?itemId=704659688299","打开知衣")</x:f>
        <x:v>HYPERLINK is not implemented. linkLocation=https://data.zhiyitech.cn/itemDetail/overview/base?itemId=704659688299, friendlyName=打开知衣</x:v>
      </x:c>
      <x:c r="N986" s="25" t="e">
        <x:f>HYPERLINK("https://img.alicdn.com/bao/uploaded/i3/95954336/O1CN01VB14WB1htw9lgLJY6_!!95954336.jpg","查看主图")</x:f>
        <x:v>HYPERLINK is not implemented. linkLocation=https://img.alicdn.com/bao/uploaded/i3/95954336/O1CN01VB14WB1htw9lgLJY6_!!95954336.jpg, friendlyName=查看主图</x:v>
      </x:c>
      <x:c r="O986" s="9" t="str">
        <x:v>标题及既有类目语义复核；左岸迷香原创设计羊毛混纺拼接半裙 秋冬半身裙22FW2010；原类目及标题已能确认半身裙；展示使用已知大类，未知裙长下沉到结构字段，不强猜长短。</x:v>
      </x:c>
      <x:c r="P986" s="9" t="str">
        <x:v>普通男女装</x:v>
      </x:c>
      <x:c r="Q986" s="9" t="str">
        <x:v>W_SKIRTS_AVGPAID_1700_1800_ANNUAL2026.xlsx</x:v>
      </x:c>
      <x:c r="R986" s="9" t="str">
        <x:v>默认</x:v>
      </x:c>
      <x:c r="S986" s="9" t="n">
        <x:v>489</x:v>
      </x:c>
      <x:c r="T986" s="9" t="str">
        <x:v>c25ed77c53c7c5cfcf728778a0e9b297d8689503f62756a939cbd534ca9b587a</x:v>
      </x:c>
      <x:c r="U986" s="9" t="str">
        <x:v>W_SKIRTS_AVGPAID_1700_1800_ANNUAL2026</x:v>
      </x:c>
      <x:c r="V986" s="9" t="str">
        <x:v>W_SKIRTS_AVGPAID_1700_1800_ANNUAL2026.xlsx / 默认 / 第489行 / SHA256 c25ed77c53c7c5cfcf728778a0e9b297d8689503f62756a939cbd534ca9b587a</x:v>
      </x:c>
    </x:row>
    <x:row r="987" ht="58" customHeight="1">
      <x:c r="A987" s="23" t="str">
        <x:v>1015022621627</x:v>
      </x:c>
      <x:c r="B987" s="22"/>
      <x:c r="C987" s="22"/>
      <x:c r="D987" s="22"/>
      <x:c r="E987" s="9" t="str">
        <x:v>裙长未明确</x:v>
      </x:c>
      <x:c r="F987" s="9" t="str">
        <x:v>裙装</x:v>
      </x:c>
      <x:c r="G987" s="9" t="str">
        <x:v>半身裙</x:v>
      </x:c>
      <x:c r="H987" s="9" t="str">
        <x:v>女</x:v>
      </x:c>
      <x:c r="I987" s="9" t="str">
        <x:v>无有善见城手工泥染质朴肌理感柞蚕丝棉双层半裙【山那边】</x:v>
      </x:c>
      <x:c r="J987" s="9" t="str">
        <x:v>无有善见城</x:v>
      </x:c>
      <x:c r="K987" s="24" t="n">
        <x:v>1309.85</x:v>
      </x:c>
      <x:c r="L987" s="25" t="e">
        <x:f>HYPERLINK("https://item.taobao.com/item.htm?id=1015022621627","打开商品")</x:f>
        <x:v>HYPERLINK is not implemented. linkLocation=https://item.taobao.com/item.htm?id=1015022621627, friendlyName=打开商品</x:v>
      </x:c>
      <x:c r="M987" s="25" t="e">
        <x:f>HYPERLINK("https://data.zhiyitech.cn/itemDetail/overview/base?itemId=1015022621627","打开知衣")</x:f>
        <x:v>HYPERLINK is not implemented. linkLocation=https://data.zhiyitech.cn/itemDetail/overview/base?itemId=1015022621627, friendlyName=打开知衣</x:v>
      </x:c>
      <x:c r="N987" s="25" t="e">
        <x:f>HYPERLINK("https://img.alicdn.com/bao/uploaded/i2/113986099/O1CN01NtzwTb1uvOiwrpyzw_!!113986099.jpg","查看主图")</x:f>
        <x:v>HYPERLINK is not implemented. linkLocation=https://img.alicdn.com/bao/uploaded/i2/113986099/O1CN01NtzwTb1uvOiwrpyzw_!!113986099.jpg, friendlyName=查看主图</x:v>
      </x:c>
      <x:c r="O987" s="9" t="str">
        <x:v>标题及既有类目语义复核；无有善见城手工泥染质朴肌理感柞蚕丝棉双层半裙【山那边】；原类目及标题已能确认半身裙；展示使用已知大类，未知裙长下沉到结构字段，不强猜长短。</x:v>
      </x:c>
      <x:c r="P987" s="9" t="str">
        <x:v>普通男女装</x:v>
      </x:c>
      <x:c r="Q987" s="9" t="str">
        <x:v>W_SKIRTS_AVGPAID_1300_1400_ANNUAL2026.xlsx</x:v>
      </x:c>
      <x:c r="R987" s="9" t="str">
        <x:v>默认</x:v>
      </x:c>
      <x:c r="S987" s="9" t="n">
        <x:v>268</x:v>
      </x:c>
      <x:c r="T987" s="9" t="str">
        <x:v>bd4dae1e08e9eca7ddd0669235bf59107cdc418b9c2898fc16f36a7ab5748692</x:v>
      </x:c>
      <x:c r="U987" s="9" t="str">
        <x:v>W_SKIRTS_AVGPAID_1300_1400_ANNUAL2026</x:v>
      </x:c>
      <x:c r="V987" s="9" t="str">
        <x:v>W_SKIRTS_AVGPAID_1300_1400_ANNUAL2026.xlsx / 默认 / 第268行 / SHA256 bd4dae1e08e9eca7ddd0669235bf59107cdc418b9c2898fc16f36a7ab5748692</x:v>
      </x:c>
    </x:row>
    <x:row r="988" ht="58" customHeight="1">
      <x:c r="A988" s="23" t="str">
        <x:v>1031274341024</x:v>
      </x:c>
      <x:c r="B988" s="22"/>
      <x:c r="C988" s="22"/>
      <x:c r="D988" s="22"/>
      <x:c r="E988" s="9" t="str">
        <x:v>裙长未明确</x:v>
      </x:c>
      <x:c r="F988" s="9" t="str">
        <x:v>裙装</x:v>
      </x:c>
      <x:c r="G988" s="9" t="str">
        <x:v>半身裙</x:v>
      </x:c>
      <x:c r="H988" s="9" t="str">
        <x:v>女</x:v>
      </x:c>
      <x:c r="I988" s="9" t="str">
        <x:v>夜阑花开｜时光与禅原创设计｜老绢重绉花色喷绘香云纱松紧腰裙</x:v>
      </x:c>
      <x:c r="J988" s="9" t="str">
        <x:v>时光映画</x:v>
      </x:c>
      <x:c r="K988" s="24" t="n">
        <x:v>1542.56</x:v>
      </x:c>
      <x:c r="L988" s="25" t="e">
        <x:f>HYPERLINK("https://item.taobao.com/item.htm?id=1031274341024","打开商品")</x:f>
        <x:v>HYPERLINK is not implemented. linkLocation=https://item.taobao.com/item.htm?id=1031274341024, friendlyName=打开商品</x:v>
      </x:c>
      <x:c r="M988" s="25" t="e">
        <x:f>HYPERLINK("https://data.zhiyitech.cn/itemDetail/overview/base?itemId=1031274341024","打开知衣")</x:f>
        <x:v>HYPERLINK is not implemented. linkLocation=https://data.zhiyitech.cn/itemDetail/overview/base?itemId=1031274341024, friendlyName=打开知衣</x:v>
      </x:c>
      <x:c r="N988" s="25" t="e">
        <x:f>HYPERLINK("https://img.alicdn.com/bao/uploaded/i4/68060473/O1CN01DAxAgc1FMgSznUGYZ_!!68060473.jpg","查看主图")</x:f>
        <x:v>HYPERLINK is not implemented. linkLocation=https://img.alicdn.com/bao/uploaded/i4/68060473/O1CN01DAxAgc1FMgSznUGYZ_!!68060473.jpg, friendlyName=查看主图</x:v>
      </x:c>
      <x:c r="O988" s="9" t="str">
        <x:v>标题及既有类目语义复核；夜阑花开｜时光与禅原创设计｜老绢重绉花色喷绘香云纱松紧腰裙；原类目及标题已能确认半身裙；展示使用已知大类，未知裙长下沉到结构字段，不强猜长短。</x:v>
      </x:c>
      <x:c r="P988" s="9" t="str">
        <x:v>普通男女装</x:v>
      </x:c>
      <x:c r="Q988" s="9" t="str">
        <x:v>W_SKIRTS_AVGPAID_1500_1600_ANNUAL2026.xlsx</x:v>
      </x:c>
      <x:c r="R988" s="9" t="str">
        <x:v>默认</x:v>
      </x:c>
      <x:c r="S988" s="9" t="n">
        <x:v>180</x:v>
      </x:c>
      <x:c r="T988" s="9" t="str">
        <x:v>deede8b56943df4f914be45dba170f12e69064023d6ef0e88dbde1764f6ba23e</x:v>
      </x:c>
      <x:c r="U988" s="9" t="str">
        <x:v>W_SKIRTS_AVGPAID_1500_1600_ANNUAL2026</x:v>
      </x:c>
      <x:c r="V988" s="9" t="str">
        <x:v>W_SKIRTS_AVGPAID_1500_1600_ANNUAL2026.xlsx / 默认 / 第180行 / SHA256 deede8b56943df4f914be45dba170f12e69064023d6ef0e88dbde1764f6ba23e</x:v>
      </x:c>
    </x:row>
    <x:row r="989" ht="58" customHeight="1">
      <x:c r="A989" s="23" t="str">
        <x:v>1011608299889</x:v>
      </x:c>
      <x:c r="B989" s="22"/>
      <x:c r="C989" s="22"/>
      <x:c r="D989" s="22"/>
      <x:c r="E989" s="9" t="str">
        <x:v>裙长未明确</x:v>
      </x:c>
      <x:c r="F989" s="9" t="str">
        <x:v>裙装</x:v>
      </x:c>
      <x:c r="G989" s="9" t="str">
        <x:v>半身裙</x:v>
      </x:c>
      <x:c r="H989" s="9" t="str">
        <x:v>女</x:v>
      </x:c>
      <x:c r="I989" s="9" t="str">
        <x:v>明天艺术家 26SS 菱格炒色弧形立裁半裙</x:v>
      </x:c>
      <x:c r="J989" s="9" t="str">
        <x:v>明天艺术家</x:v>
      </x:c>
      <x:c r="K989" s="24" t="n">
        <x:v>1739.16</x:v>
      </x:c>
      <x:c r="L989" s="25" t="e">
        <x:f>HYPERLINK("https://item.taobao.com/item.htm?id=1011608299889","打开商品")</x:f>
        <x:v>HYPERLINK is not implemented. linkLocation=https://item.taobao.com/item.htm?id=1011608299889, friendlyName=打开商品</x:v>
      </x:c>
      <x:c r="M989" s="25" t="e">
        <x:f>HYPERLINK("https://data.zhiyitech.cn/itemDetail/overview/base?itemId=1011608299889","打开知衣")</x:f>
        <x:v>HYPERLINK is not implemented. linkLocation=https://data.zhiyitech.cn/itemDetail/overview/base?itemId=1011608299889, friendlyName=打开知衣</x:v>
      </x:c>
      <x:c r="N989" s="25" t="e">
        <x:f>HYPERLINK("https://img.alicdn.com/bao/uploaded/i2/1784238097/O1CN01toS40U29gU3nGyphp_!!1784238097.jpg","查看主图")</x:f>
        <x:v>HYPERLINK is not implemented. linkLocation=https://img.alicdn.com/bao/uploaded/i2/1784238097/O1CN01toS40U29gU3nGyphp_!!1784238097.jpg, friendlyName=查看主图</x:v>
      </x:c>
      <x:c r="O989" s="9" t="str">
        <x:v>标题及既有类目语义复核；明天艺术家 26SS 菱格炒色弧形立裁半裙；原类目及标题已能确认半身裙；展示使用已知大类，未知裙长下沉到结构字段，不强猜长短。</x:v>
      </x:c>
      <x:c r="P989" s="9" t="str">
        <x:v>普通男女装</x:v>
      </x:c>
      <x:c r="Q989" s="9" t="str">
        <x:v>W_SKIRTS_AVGPAID_1700_1800_ANNUAL2026.xlsx</x:v>
      </x:c>
      <x:c r="R989" s="9" t="str">
        <x:v>默认</x:v>
      </x:c>
      <x:c r="S989" s="9" t="n">
        <x:v>163</x:v>
      </x:c>
      <x:c r="T989" s="9" t="str">
        <x:v>c25ed77c53c7c5cfcf728778a0e9b297d8689503f62756a939cbd534ca9b587a</x:v>
      </x:c>
      <x:c r="U989" s="9" t="str">
        <x:v>W_SKIRTS_AVGPAID_1700_1800_ANNUAL2026</x:v>
      </x:c>
      <x:c r="V989" s="9" t="str">
        <x:v>W_SKIRTS_AVGPAID_1700_1800_ANNUAL2026.xlsx / 默认 / 第163行 / SHA256 c25ed77c53c7c5cfcf728778a0e9b297d8689503f62756a939cbd534ca9b587a</x:v>
      </x:c>
    </x:row>
    <x:row r="990" ht="58" customHeight="1">
      <x:c r="A990" s="23" t="str">
        <x:v>1006267691020</x:v>
      </x:c>
      <x:c r="B990" s="22"/>
      <x:c r="C990" s="22"/>
      <x:c r="D990" s="22"/>
      <x:c r="E990" s="9" t="str">
        <x:v>裙长未明确</x:v>
      </x:c>
      <x:c r="F990" s="9" t="str">
        <x:v>裙装</x:v>
      </x:c>
      <x:c r="G990" s="9" t="str">
        <x:v>半身裙</x:v>
      </x:c>
      <x:c r="H990" s="9" t="str">
        <x:v>女</x:v>
      </x:c>
      <x:c r="I990" s="9" t="str">
        <x:v>YE“玫瑰的故事”低温轻蜡羊皮红色半身伞裙XY-LF7009</x:v>
      </x:c>
      <x:c r="J990" s="9" t="str">
        <x:v>未提供品牌</x:v>
      </x:c>
      <x:c r="K990" s="24" t="n">
        <x:v>1780</x:v>
      </x:c>
      <x:c r="L990" s="25" t="e">
        <x:f>HYPERLINK("https://item.taobao.com/item.htm?id=1006267691020","打开商品")</x:f>
        <x:v>HYPERLINK is not implemented. linkLocation=https://item.taobao.com/item.htm?id=1006267691020, friendlyName=打开商品</x:v>
      </x:c>
      <x:c r="M990" s="25" t="e">
        <x:f>HYPERLINK("https://data.zhiyitech.cn/itemDetail/overview/base?itemId=1006267691020","打开知衣")</x:f>
        <x:v>HYPERLINK is not implemented. linkLocation=https://data.zhiyitech.cn/itemDetail/overview/base?itemId=1006267691020, friendlyName=打开知衣</x:v>
      </x:c>
      <x:c r="N990" s="25" t="e">
        <x:f>HYPERLINK("https://img.alicdn.com/bao/uploaded/i1/2220055528343/O1CN01ARiAIA2BV9UTzhQO1_!!2220055528343.jpg","查看主图")</x:f>
        <x:v>HYPERLINK is not implemented. linkLocation=https://img.alicdn.com/bao/uploaded/i1/2220055528343/O1CN01ARiAIA2BV9UTzhQO1_!!2220055528343.jpg, friendlyName=查看主图</x:v>
      </x:c>
      <x:c r="O990" s="9" t="str">
        <x:v>标题及既有类目语义复核；YE“玫瑰的故事”低温轻蜡羊皮红色半身伞裙XY-LF7009；原类目及标题已能确认半身裙；展示使用已知大类，未知裙长下沉到结构字段，不强猜长短。</x:v>
      </x:c>
      <x:c r="P990" s="9" t="str">
        <x:v>普通男女装</x:v>
      </x:c>
      <x:c r="Q990" s="9" t="str">
        <x:v>W_SKIRTS_AVGPAID_1700_1800_ANNUAL2026.xlsx</x:v>
      </x:c>
      <x:c r="R990" s="9" t="str">
        <x:v>默认</x:v>
      </x:c>
      <x:c r="S990" s="9" t="n">
        <x:v>407</x:v>
      </x:c>
      <x:c r="T990" s="9" t="str">
        <x:v>c25ed77c53c7c5cfcf728778a0e9b297d8689503f62756a939cbd534ca9b587a</x:v>
      </x:c>
      <x:c r="U990" s="9" t="str">
        <x:v>W_SKIRTS_AVGPAID_1700_1800_ANNUAL2026</x:v>
      </x:c>
      <x:c r="V990" s="9" t="str">
        <x:v>W_SKIRTS_AVGPAID_1700_1800_ANNUAL2026.xlsx / 默认 / 第407行 / SHA256 c25ed77c53c7c5cfcf728778a0e9b297d8689503f62756a939cbd534ca9b587a</x:v>
      </x:c>
    </x:row>
    <x:row r="991" ht="58" customHeight="1">
      <x:c r="A991" s="23" t="str">
        <x:v>1017758142665</x:v>
      </x:c>
      <x:c r="B991" s="22"/>
      <x:c r="C991" s="22"/>
      <x:c r="D991" s="22"/>
      <x:c r="E991" s="9" t="str">
        <x:v>裙长未明确</x:v>
      </x:c>
      <x:c r="F991" s="9" t="str">
        <x:v>裙装</x:v>
      </x:c>
      <x:c r="G991" s="9" t="str">
        <x:v>半身裙</x:v>
      </x:c>
      <x:c r="H991" s="9" t="str">
        <x:v>女</x:v>
      </x:c>
      <x:c r="I991" s="9" t="str">
        <x:v>UNICA/弧线分割欧洲进口轻油蜡细碎纹山羊皮显瘦皮半裙</x:v>
      </x:c>
      <x:c r="J991" s="9" t="str">
        <x:v>未提供品牌</x:v>
      </x:c>
      <x:c r="K991" s="24" t="n">
        <x:v>1559.32</x:v>
      </x:c>
      <x:c r="L991" s="25" t="e">
        <x:f>HYPERLINK("https://item.taobao.com/item.htm?id=1017758142665","打开商品")</x:f>
        <x:v>HYPERLINK is not implemented. linkLocation=https://item.taobao.com/item.htm?id=1017758142665, friendlyName=打开商品</x:v>
      </x:c>
      <x:c r="M991" s="25" t="e">
        <x:f>HYPERLINK("https://data.zhiyitech.cn/itemDetail/overview/base?itemId=1017758142665","打开知衣")</x:f>
        <x:v>HYPERLINK is not implemented. linkLocation=https://data.zhiyitech.cn/itemDetail/overview/base?itemId=1017758142665, friendlyName=打开知衣</x:v>
      </x:c>
      <x:c r="N991" s="25" t="e">
        <x:f>HYPERLINK("https://img.alicdn.com/bao/uploaded/i4/116091670/O1CN01H1SNdk1OCuYGeTwRV_!!116091670.jpg","查看主图")</x:f>
        <x:v>HYPERLINK is not implemented. linkLocation=https://img.alicdn.com/bao/uploaded/i4/116091670/O1CN01H1SNdk1OCuYGeTwRV_!!116091670.jpg, friendlyName=查看主图</x:v>
      </x:c>
      <x:c r="O991" s="9" t="str">
        <x:v>标题及既有类目语义复核；UNICA/弧线分割欧洲进口轻油蜡细碎纹山羊皮显瘦皮半裙；原类目及标题已能确认半身裙；展示使用已知大类，未知裙长下沉到结构字段，不强猜长短。</x:v>
      </x:c>
      <x:c r="P991" s="9" t="str">
        <x:v>普通男女装</x:v>
      </x:c>
      <x:c r="Q991" s="9" t="str">
        <x:v>W_SKIRTS_AVGPAID_1500_1600_ANNUAL2026.xlsx</x:v>
      </x:c>
      <x:c r="R991" s="9" t="str">
        <x:v>默认</x:v>
      </x:c>
      <x:c r="S991" s="9" t="n">
        <x:v>283</x:v>
      </x:c>
      <x:c r="T991" s="9" t="str">
        <x:v>deede8b56943df4f914be45dba170f12e69064023d6ef0e88dbde1764f6ba23e</x:v>
      </x:c>
      <x:c r="U991" s="9" t="str">
        <x:v>W_SKIRTS_AVGPAID_1500_1600_ANNUAL2026</x:v>
      </x:c>
      <x:c r="V991" s="9" t="str">
        <x:v>W_SKIRTS_AVGPAID_1500_1600_ANNUAL2026.xlsx / 默认 / 第283行 / SHA256 deede8b56943df4f914be45dba170f12e69064023d6ef0e88dbde1764f6ba23e</x:v>
      </x:c>
    </x:row>
    <x:row r="992" ht="58" customHeight="1">
      <x:c r="A992" s="23" t="str">
        <x:v>1018516018655</x:v>
      </x:c>
      <x:c r="B992" s="22"/>
      <x:c r="C992" s="22"/>
      <x:c r="D992" s="22"/>
      <x:c r="E992" s="9" t="str">
        <x:v>裙长未明确</x:v>
      </x:c>
      <x:c r="F992" s="9" t="str">
        <x:v>裙装</x:v>
      </x:c>
      <x:c r="G992" s="9" t="str">
        <x:v>半身裙</x:v>
      </x:c>
      <x:c r="H992" s="9" t="str">
        <x:v>女</x:v>
      </x:c>
      <x:c r="I992" s="9" t="str">
        <x:v>【现货】设计师品牌CRUSH Collection 26SS 浮雕肌理半裙</x:v>
      </x:c>
      <x:c r="J992" s="9" t="str">
        <x:v>未提供品牌</x:v>
      </x:c>
      <x:c r="K992" s="24" t="n">
        <x:v>1583.69</x:v>
      </x:c>
      <x:c r="L992" s="25" t="e">
        <x:f>HYPERLINK("https://item.taobao.com/item.htm?id=1018516018655","打开商品")</x:f>
        <x:v>HYPERLINK is not implemented. linkLocation=https://item.taobao.com/item.htm?id=1018516018655, friendlyName=打开商品</x:v>
      </x:c>
      <x:c r="M992" s="25" t="e">
        <x:f>HYPERLINK("https://data.zhiyitech.cn/itemDetail/overview/base?itemId=1018516018655","打开知衣")</x:f>
        <x:v>HYPERLINK is not implemented. linkLocation=https://data.zhiyitech.cn/itemDetail/overview/base?itemId=1018516018655, friendlyName=打开知衣</x:v>
      </x:c>
      <x:c r="N992" s="25" t="e">
        <x:f>HYPERLINK("https://img.alicdn.com/bao/uploaded/i2/1112112482/O1CN01xjaqb91UCoAWvb4fq_!!1112112482.jpg","查看主图")</x:f>
        <x:v>HYPERLINK is not implemented. linkLocation=https://img.alicdn.com/bao/uploaded/i2/1112112482/O1CN01xjaqb91UCoAWvb4fq_!!1112112482.jpg, friendlyName=查看主图</x:v>
      </x:c>
      <x:c r="O992" s="9" t="str">
        <x:v>标题及既有类目语义复核；【现货】设计师品牌CRUSH Collection 26SS 浮雕肌理半裙；原类目及标题已能确认半身裙；展示使用已知大类，未知裙长下沉到结构字段，不强猜长短。</x:v>
      </x:c>
      <x:c r="P992" s="9" t="str">
        <x:v>普通男女装</x:v>
      </x:c>
      <x:c r="Q992" s="9" t="str">
        <x:v>W_SKIRTS_AVGPAID_1500_1600_ANNUAL2026.xlsx</x:v>
      </x:c>
      <x:c r="R992" s="9" t="str">
        <x:v>默认</x:v>
      </x:c>
      <x:c r="S992" s="9" t="n">
        <x:v>463</x:v>
      </x:c>
      <x:c r="T992" s="9" t="str">
        <x:v>deede8b56943df4f914be45dba170f12e69064023d6ef0e88dbde1764f6ba23e</x:v>
      </x:c>
      <x:c r="U992" s="9" t="str">
        <x:v>W_SKIRTS_AVGPAID_1500_1600_ANNUAL2026</x:v>
      </x:c>
      <x:c r="V992" s="9" t="str">
        <x:v>W_SKIRTS_AVGPAID_1500_1600_ANNUAL2026.xlsx / 默认 / 第463行 / SHA256 deede8b56943df4f914be45dba170f12e69064023d6ef0e88dbde1764f6ba23e</x:v>
      </x:c>
    </x:row>
    <x:row r="993" ht="58" customHeight="1">
      <x:c r="A993" s="23" t="str">
        <x:v>1022553600784</x:v>
      </x:c>
      <x:c r="B993" s="22"/>
      <x:c r="C993" s="22"/>
      <x:c r="D993" s="22"/>
      <x:c r="E993" s="9" t="str">
        <x:v>裙长未明确</x:v>
      </x:c>
      <x:c r="F993" s="9" t="str">
        <x:v>裙装</x:v>
      </x:c>
      <x:c r="G993" s="9" t="str">
        <x:v>半身裙</x:v>
      </x:c>
      <x:c r="H993" s="9" t="str">
        <x:v>女</x:v>
      </x:c>
      <x:c r="I993" s="9" t="str">
        <x:v>UNICA/重磅高级丝毛缎花苞抽绳围裹式半裙</x:v>
      </x:c>
      <x:c r="J993" s="9" t="str">
        <x:v>未提供品牌</x:v>
      </x:c>
      <x:c r="K993" s="24" t="n">
        <x:v>1330.02</x:v>
      </x:c>
      <x:c r="L993" s="25" t="e">
        <x:f>HYPERLINK("https://item.taobao.com/item.htm?id=1022553600784","打开商品")</x:f>
        <x:v>HYPERLINK is not implemented. linkLocation=https://item.taobao.com/item.htm?id=1022553600784, friendlyName=打开商品</x:v>
      </x:c>
      <x:c r="M993" s="25" t="e">
        <x:f>HYPERLINK("https://data.zhiyitech.cn/itemDetail/overview/base?itemId=1022553600784","打开知衣")</x:f>
        <x:v>HYPERLINK is not implemented. linkLocation=https://data.zhiyitech.cn/itemDetail/overview/base?itemId=1022553600784, friendlyName=打开知衣</x:v>
      </x:c>
      <x:c r="N993" s="25" t="e">
        <x:f>HYPERLINK("https://img.alicdn.com/bao/uploaded/i1/116091670/O1CN01oExpVl1OCuYPWOLb9_!!116091670.jpg","查看主图")</x:f>
        <x:v>HYPERLINK is not implemented. linkLocation=https://img.alicdn.com/bao/uploaded/i1/116091670/O1CN01oExpVl1OCuYPWOLb9_!!116091670.jpg, friendlyName=查看主图</x:v>
      </x:c>
      <x:c r="O993" s="9" t="str">
        <x:v>标题及既有类目语义复核；UNICA/重磅高级丝毛缎花苞抽绳围裹式半裙；原类目及标题已能确认半身裙；展示使用已知大类，未知裙长下沉到结构字段，不强猜长短。</x:v>
      </x:c>
      <x:c r="P993" s="9" t="str">
        <x:v>普通男女装</x:v>
      </x:c>
      <x:c r="Q993" s="9" t="str">
        <x:v>W_SKIRTS_AVGPAID_1300_1400_ANNUAL2026.xlsx</x:v>
      </x:c>
      <x:c r="R993" s="9" t="str">
        <x:v>默认</x:v>
      </x:c>
      <x:c r="S993" s="9" t="n">
        <x:v>54</x:v>
      </x:c>
      <x:c r="T993" s="9" t="str">
        <x:v>bd4dae1e08e9eca7ddd0669235bf59107cdc418b9c2898fc16f36a7ab5748692</x:v>
      </x:c>
      <x:c r="U993" s="9" t="str">
        <x:v>W_SKIRTS_AVGPAID_1300_1400_ANNUAL2026</x:v>
      </x:c>
      <x:c r="V993" s="9" t="str">
        <x:v>W_SKIRTS_AVGPAID_1300_1400_ANNUAL2026.xlsx / 默认 / 第54行 / SHA256 bd4dae1e08e9eca7ddd0669235bf59107cdc418b9c2898fc16f36a7ab5748692</x:v>
      </x:c>
    </x:row>
    <x:row r="994" ht="58" customHeight="1">
      <x:c r="A994" s="23" t="str">
        <x:v>1023050042206</x:v>
      </x:c>
      <x:c r="B994" s="22"/>
      <x:c r="C994" s="22"/>
      <x:c r="D994" s="22"/>
      <x:c r="E994" s="9" t="str">
        <x:v>裙长未明确</x:v>
      </x:c>
      <x:c r="F994" s="9" t="str">
        <x:v>裙装</x:v>
      </x:c>
      <x:c r="G994" s="9" t="str">
        <x:v>半身裙</x:v>
      </x:c>
      <x:c r="H994" s="9" t="str">
        <x:v>女</x:v>
      </x:c>
      <x:c r="I994" s="9" t="str">
        <x:v>关晓彤同款CNLEEWEI透视感雪纺上衣不规则裙摆半裙La Chene设计师</x:v>
      </x:c>
      <x:c r="J994" s="9" t="str">
        <x:v>未提供品牌</x:v>
      </x:c>
      <x:c r="K994" s="24" t="n">
        <x:v>1323.66</x:v>
      </x:c>
      <x:c r="L994" s="25" t="e">
        <x:f>HYPERLINK("https://item.taobao.com/item.htm?id=1023050042206","打开商品")</x:f>
        <x:v>HYPERLINK is not implemented. linkLocation=https://item.taobao.com/item.htm?id=1023050042206, friendlyName=打开商品</x:v>
      </x:c>
      <x:c r="M994" s="25" t="e">
        <x:f>HYPERLINK("https://data.zhiyitech.cn/itemDetail/overview/base?itemId=1023050042206","打开知衣")</x:f>
        <x:v>HYPERLINK is not implemented. linkLocation=https://data.zhiyitech.cn/itemDetail/overview/base?itemId=1023050042206, friendlyName=打开知衣</x:v>
      </x:c>
      <x:c r="N994" s="25" t="e">
        <x:f>HYPERLINK("https://img.alicdn.com/bao/uploaded/i4/2147889891/O1CN018BoKF8MG2rH2vH2e_!!2147889891.jpg","查看主图")</x:f>
        <x:v>HYPERLINK is not implemented. linkLocation=https://img.alicdn.com/bao/uploaded/i4/2147889891/O1CN018BoKF8MG2rH2vH2e_!!2147889891.jpg, friendlyName=查看主图</x:v>
      </x:c>
      <x:c r="O994" s="9" t="str">
        <x:v>标题及既有类目语义复核；关晓彤同款CNLEEWEI透视感雪纺上衣不规则裙摆半裙La Chene设计师；原类目及标题已能确认半身裙；展示使用已知大类，未知裙长下沉到结构字段，不强猜长短。</x:v>
      </x:c>
      <x:c r="P994" s="9" t="str">
        <x:v>普通男女装</x:v>
      </x:c>
      <x:c r="Q994" s="9" t="str">
        <x:v>W_SKIRTS_AVGPAID_1300_1400_ANNUAL2026.xlsx</x:v>
      </x:c>
      <x:c r="R994" s="9" t="str">
        <x:v>默认</x:v>
      </x:c>
      <x:c r="S994" s="9" t="n">
        <x:v>292</x:v>
      </x:c>
      <x:c r="T994" s="9" t="str">
        <x:v>bd4dae1e08e9eca7ddd0669235bf59107cdc418b9c2898fc16f36a7ab5748692</x:v>
      </x:c>
      <x:c r="U994" s="9" t="str">
        <x:v>W_SKIRTS_AVGPAID_1300_1400_ANNUAL2026</x:v>
      </x:c>
      <x:c r="V994" s="9" t="str">
        <x:v>W_SKIRTS_AVGPAID_1300_1400_ANNUAL2026.xlsx / 默认 / 第292行 / SHA256 bd4dae1e08e9eca7ddd0669235bf59107cdc418b9c2898fc16f36a7ab5748692</x:v>
      </x:c>
    </x:row>
    <x:row r="995" ht="58" customHeight="1">
      <x:c r="A995" s="23" t="str">
        <x:v>1023757068490</x:v>
      </x:c>
      <x:c r="B995" s="22"/>
      <x:c r="C995" s="22"/>
      <x:c r="D995" s="22"/>
      <x:c r="E995" s="9" t="str">
        <x:v>裙长未明确</x:v>
      </x:c>
      <x:c r="F995" s="9" t="str">
        <x:v>裙装</x:v>
      </x:c>
      <x:c r="G995" s="9" t="str">
        <x:v>半身裙</x:v>
      </x:c>
      <x:c r="H995" s="9" t="str">
        <x:v>女</x:v>
      </x:c>
      <x:c r="I995" s="9" t="str">
        <x:v>enndou2026春秋新款100%纯山羊绒高腰修身包臀裙半身裙软糯长半裙</x:v>
      </x:c>
      <x:c r="J995" s="9" t="str">
        <x:v>未提供品牌</x:v>
      </x:c>
      <x:c r="K995" s="24" t="n">
        <x:v>1519.29</x:v>
      </x:c>
      <x:c r="L995" s="25" t="e">
        <x:f>HYPERLINK("https://item.taobao.com/item.htm?id=1023757068490","打开商品")</x:f>
        <x:v>HYPERLINK is not implemented. linkLocation=https://item.taobao.com/item.htm?id=1023757068490, friendlyName=打开商品</x:v>
      </x:c>
      <x:c r="M995" s="25" t="e">
        <x:f>HYPERLINK("https://data.zhiyitech.cn/itemDetail/overview/base?itemId=1023757068490","打开知衣")</x:f>
        <x:v>HYPERLINK is not implemented. linkLocation=https://data.zhiyitech.cn/itemDetail/overview/base?itemId=1023757068490, friendlyName=打开知衣</x:v>
      </x:c>
      <x:c r="N995" s="25" t="e">
        <x:f>HYPERLINK("https://img.alicdn.com/bao/uploaded/i3/3582007282/O1CN01HVfJgp23fDH4csZ1I_!!3582007282.png","查看主图")</x:f>
        <x:v>HYPERLINK is not implemented. linkLocation=https://img.alicdn.com/bao/uploaded/i3/3582007282/O1CN01HVfJgp23fDH4csZ1I_!!3582007282.png, friendlyName=查看主图</x:v>
      </x:c>
      <x:c r="O995" s="9" t="str">
        <x:v>标题及既有类目语义复核；enndou2026春秋新款100%纯山羊绒高腰修身包臀裙半身裙软糯长半裙；原类目及标题已能确认半身裙；展示使用已知大类，未知裙长下沉到结构字段，不强猜长短。</x:v>
      </x:c>
      <x:c r="P995" s="9" t="str">
        <x:v>普通男女装</x:v>
      </x:c>
      <x:c r="Q995" s="9" t="str">
        <x:v>W_SKIRTS_AVGPAID_1500_1600_ANNUAL2026.xlsx</x:v>
      </x:c>
      <x:c r="R995" s="9" t="str">
        <x:v>默认</x:v>
      </x:c>
      <x:c r="S995" s="9" t="n">
        <x:v>92</x:v>
      </x:c>
      <x:c r="T995" s="9" t="str">
        <x:v>deede8b56943df4f914be45dba170f12e69064023d6ef0e88dbde1764f6ba23e</x:v>
      </x:c>
      <x:c r="U995" s="9" t="str">
        <x:v>W_SKIRTS_AVGPAID_1500_1600_ANNUAL2026</x:v>
      </x:c>
      <x:c r="V995" s="9" t="str">
        <x:v>W_SKIRTS_AVGPAID_1500_1600_ANNUAL2026.xlsx / 默认 / 第92行 / SHA256 deede8b56943df4f914be45dba170f12e69064023d6ef0e88dbde1764f6ba23e</x:v>
      </x:c>
    </x:row>
    <x:row r="996" ht="58" customHeight="1">
      <x:c r="A996" s="23" t="str">
        <x:v>1023820751487</x:v>
      </x:c>
      <x:c r="B996" s="22"/>
      <x:c r="C996" s="22"/>
      <x:c r="D996" s="22"/>
      <x:c r="E996" s="9" t="str">
        <x:v>裙长未明确</x:v>
      </x:c>
      <x:c r="F996" s="9" t="str">
        <x:v>裙装</x:v>
      </x:c>
      <x:c r="G996" s="9" t="str">
        <x:v>半身裙</x:v>
      </x:c>
      <x:c r="H996" s="9" t="str">
        <x:v>女</x:v>
      </x:c>
      <x:c r="I996" s="9" t="str">
        <x:v>WHM 柔软尼龙布松紧腰宽松抽褶半裙女26春夏新款JUNESHAN</x:v>
      </x:c>
      <x:c r="J996" s="9" t="str">
        <x:v>未提供品牌</x:v>
      </x:c>
      <x:c r="K996" s="24" t="n">
        <x:v>1372.88</x:v>
      </x:c>
      <x:c r="L996" s="25" t="e">
        <x:f>HYPERLINK("https://item.taobao.com/item.htm?id=1023820751487","打开商品")</x:f>
        <x:v>HYPERLINK is not implemented. linkLocation=https://item.taobao.com/item.htm?id=1023820751487, friendlyName=打开商品</x:v>
      </x:c>
      <x:c r="M996" s="25" t="e">
        <x:f>HYPERLINK("https://data.zhiyitech.cn/itemDetail/overview/base?itemId=1023820751487","打开知衣")</x:f>
        <x:v>HYPERLINK is not implemented. linkLocation=https://data.zhiyitech.cn/itemDetail/overview/base?itemId=1023820751487, friendlyName=打开知衣</x:v>
      </x:c>
      <x:c r="N996" s="25" t="e">
        <x:f>HYPERLINK("https://img.alicdn.com/bao/uploaded/i4/2204762071/O1CN01LKBpK71RAZNRck55s_!!2204762071.jpg","查看主图")</x:f>
        <x:v>HYPERLINK is not implemented. linkLocation=https://img.alicdn.com/bao/uploaded/i4/2204762071/O1CN01LKBpK71RAZNRck55s_!!2204762071.jpg, friendlyName=查看主图</x:v>
      </x:c>
      <x:c r="O996" s="9" t="str">
        <x:v>标题及既有类目语义复核；WHM 柔软尼龙布松紧腰宽松抽褶半裙女26春夏新款JUNESHAN；原类目及标题已能确认半身裙；展示使用已知大类，未知裙长下沉到结构字段，不强猜长短。</x:v>
      </x:c>
      <x:c r="P996" s="9" t="str">
        <x:v>普通男女装</x:v>
      </x:c>
      <x:c r="Q996" s="9" t="str">
        <x:v>W_SKIRTS_AVGPAID_1300_1400_ANNUAL2026.xlsx</x:v>
      </x:c>
      <x:c r="R996" s="9" t="str">
        <x:v>默认</x:v>
      </x:c>
      <x:c r="S996" s="9" t="n">
        <x:v>348</x:v>
      </x:c>
      <x:c r="T996" s="9" t="str">
        <x:v>bd4dae1e08e9eca7ddd0669235bf59107cdc418b9c2898fc16f36a7ab5748692</x:v>
      </x:c>
      <x:c r="U996" s="9" t="str">
        <x:v>W_SKIRTS_AVGPAID_1300_1400_ANNUAL2026</x:v>
      </x:c>
      <x:c r="V996" s="9" t="str">
        <x:v>W_SKIRTS_AVGPAID_1300_1400_ANNUAL2026.xlsx / 默认 / 第348行 / SHA256 bd4dae1e08e9eca7ddd0669235bf59107cdc418b9c2898fc16f36a7ab5748692</x:v>
      </x:c>
    </x:row>
    <x:row r="997" ht="58" customHeight="1">
      <x:c r="A997" s="23" t="str">
        <x:v>1026655510152</x:v>
      </x:c>
      <x:c r="B997" s="22"/>
      <x:c r="C997" s="22"/>
      <x:c r="D997" s="22"/>
      <x:c r="E997" s="9" t="str">
        <x:v>裙长未明确</x:v>
      </x:c>
      <x:c r="F997" s="9" t="str">
        <x:v>裙装</x:v>
      </x:c>
      <x:c r="G997" s="9" t="str">
        <x:v>半身裙</x:v>
      </x:c>
      <x:c r="H997" s="9" t="str">
        <x:v>女</x:v>
      </x:c>
      <x:c r="I997" s="9" t="str">
        <x:v>【ECRIVAIN】那不勒斯印花压褶花苞状半身裙V领背心套装JUNESHAN</x:v>
      </x:c>
      <x:c r="J997" s="9" t="str">
        <x:v>未提供品牌</x:v>
      </x:c>
      <x:c r="K997" s="24" t="n">
        <x:v>1777.66</x:v>
      </x:c>
      <x:c r="L997" s="25" t="e">
        <x:f>HYPERLINK("https://item.taobao.com/item.htm?id=1026655510152","打开商品")</x:f>
        <x:v>HYPERLINK is not implemented. linkLocation=https://item.taobao.com/item.htm?id=1026655510152, friendlyName=打开商品</x:v>
      </x:c>
      <x:c r="M997" s="25" t="e">
        <x:f>HYPERLINK("https://data.zhiyitech.cn/itemDetail/overview/base?itemId=1026655510152","打开知衣")</x:f>
        <x:v>HYPERLINK is not implemented. linkLocation=https://data.zhiyitech.cn/itemDetail/overview/base?itemId=1026655510152, friendlyName=打开知衣</x:v>
      </x:c>
      <x:c r="N997" s="25" t="e">
        <x:f>HYPERLINK("https://img.alicdn.com/bao/uploaded/i1/2204762071/O1CN01ocCg3N1RAZNUN7vF5_!!2204762071.jpg","查看主图")</x:f>
        <x:v>HYPERLINK is not implemented. linkLocation=https://img.alicdn.com/bao/uploaded/i1/2204762071/O1CN01ocCg3N1RAZNUN7vF5_!!2204762071.jpg, friendlyName=查看主图</x:v>
      </x:c>
      <x:c r="O997" s="9" t="str">
        <x:v>标题及既有类目语义复核；【ECRIVAIN】那不勒斯印花压褶花苞状半身裙V领背心套装JUNESHAN；原类目及标题已能确认半身裙；展示使用已知大类，未知裙长下沉到结构字段，不强猜长短。</x:v>
      </x:c>
      <x:c r="P997" s="9" t="str">
        <x:v>普通男女装</x:v>
      </x:c>
      <x:c r="Q997" s="9" t="str">
        <x:v>W_SKIRTS_AVGPAID_1700_1800_ANNUAL2026.xlsx</x:v>
      </x:c>
      <x:c r="R997" s="9" t="str">
        <x:v>默认</x:v>
      </x:c>
      <x:c r="S997" s="9" t="n">
        <x:v>496</x:v>
      </x:c>
      <x:c r="T997" s="9" t="str">
        <x:v>c25ed77c53c7c5cfcf728778a0e9b297d8689503f62756a939cbd534ca9b587a</x:v>
      </x:c>
      <x:c r="U997" s="9" t="str">
        <x:v>W_SKIRTS_AVGPAID_1700_1800_ANNUAL2026</x:v>
      </x:c>
      <x:c r="V997" s="9" t="str">
        <x:v>W_SKIRTS_AVGPAID_1700_1800_ANNUAL2026.xlsx / 默认 / 第496行 / SHA256 c25ed77c53c7c5cfcf728778a0e9b297d8689503f62756a939cbd534ca9b587a</x:v>
      </x:c>
    </x:row>
    <x:row r="998" ht="58" customHeight="1">
      <x:c r="A998" s="23" t="str">
        <x:v>1027525514521</x:v>
      </x:c>
      <x:c r="B998" s="22"/>
      <x:c r="C998" s="22"/>
      <x:c r="D998" s="22"/>
      <x:c r="E998" s="9" t="str">
        <x:v>裙长未明确</x:v>
      </x:c>
      <x:c r="F998" s="9" t="str">
        <x:v>裙装</x:v>
      </x:c>
      <x:c r="G998" s="9" t="str">
        <x:v>半身裙</x:v>
      </x:c>
      <x:c r="H998" s="9" t="str">
        <x:v>女</x:v>
      </x:c>
      <x:c r="I998" s="9" t="str">
        <x:v>nanamica 主推款前面压百褶口袋棉混纺斜纹A字长半裙女JUNESHAN</x:v>
      </x:c>
      <x:c r="J998" s="9" t="str">
        <x:v>未提供品牌</x:v>
      </x:c>
      <x:c r="K998" s="24" t="n">
        <x:v>1383.63</x:v>
      </x:c>
      <x:c r="L998" s="25" t="e">
        <x:f>HYPERLINK("https://item.taobao.com/item.htm?id=1027525514521","打开商品")</x:f>
        <x:v>HYPERLINK is not implemented. linkLocation=https://item.taobao.com/item.htm?id=1027525514521, friendlyName=打开商品</x:v>
      </x:c>
      <x:c r="M998" s="25" t="e">
        <x:f>HYPERLINK("https://data.zhiyitech.cn/itemDetail/overview/base?itemId=1027525514521","打开知衣")</x:f>
        <x:v>HYPERLINK is not implemented. linkLocation=https://data.zhiyitech.cn/itemDetail/overview/base?itemId=1027525514521, friendlyName=打开知衣</x:v>
      </x:c>
      <x:c r="N998" s="25" t="e">
        <x:f>HYPERLINK("https://img.alicdn.com/bao/uploaded/i1/2204762071/O1CN01i8Pbz71RAZNVZhCkd~crop,0,0,3438,4584~_!!2204762071.jpg","查看主图")</x:f>
        <x:v>HYPERLINK is not implemented. linkLocation=https://img.alicdn.com/bao/uploaded/i1/2204762071/O1CN01i8Pbz71RAZNVZhCkd~crop,0,0,3438,4584~_!!2204762071.jpg, friendlyName=查看主图</x:v>
      </x:c>
      <x:c r="O998" s="9" t="str">
        <x:v>标题及既有类目语义复核；nanamica 主推款前面压百褶口袋棉混纺斜纹A字长半裙女JUNESHAN；原类目及标题已能确认半身裙；展示使用已知大类，未知裙长下沉到结构字段，不强猜长短。</x:v>
      </x:c>
      <x:c r="P998" s="9" t="str">
        <x:v>普通男女装</x:v>
      </x:c>
      <x:c r="Q998" s="9" t="str">
        <x:v>W_SKIRTS_AVGPAID_1300_1400_ANNUAL2026.xlsx</x:v>
      </x:c>
      <x:c r="R998" s="9" t="str">
        <x:v>默认</x:v>
      </x:c>
      <x:c r="S998" s="9" t="n">
        <x:v>443</x:v>
      </x:c>
      <x:c r="T998" s="9" t="str">
        <x:v>bd4dae1e08e9eca7ddd0669235bf59107cdc418b9c2898fc16f36a7ab5748692</x:v>
      </x:c>
      <x:c r="U998" s="9" t="str">
        <x:v>W_SKIRTS_AVGPAID_1300_1400_ANNUAL2026</x:v>
      </x:c>
      <x:c r="V998" s="9" t="str">
        <x:v>W_SKIRTS_AVGPAID_1300_1400_ANNUAL2026.xlsx / 默认 / 第443行 / SHA256 bd4dae1e08e9eca7ddd0669235bf59107cdc418b9c2898fc16f36a7ab5748692</x:v>
      </x:c>
    </x:row>
    <x:row r="999" ht="58" customHeight="1">
      <x:c r="A999" s="23" t="str">
        <x:v>1032374922387</x:v>
      </x:c>
      <x:c r="B999" s="22"/>
      <x:c r="C999" s="22"/>
      <x:c r="D999" s="22"/>
      <x:c r="E999" s="9" t="str">
        <x:v>裙长未明确</x:v>
      </x:c>
      <x:c r="F999" s="9" t="str">
        <x:v>裙装</x:v>
      </x:c>
      <x:c r="G999" s="9" t="str">
        <x:v>半身裙</x:v>
      </x:c>
      <x:c r="H999" s="9" t="str">
        <x:v>女</x:v>
      </x:c>
      <x:c r="I999" s="9" t="str">
        <x:v>【IMMI】26春夏新品复古工字褶牛仔半身裙MWEFWDSK0819X</x:v>
      </x:c>
      <x:c r="J999" s="9" t="str">
        <x:v>未提供品牌</x:v>
      </x:c>
      <x:c r="K999" s="24" t="n">
        <x:v>1756.95</x:v>
      </x:c>
      <x:c r="L999" s="25" t="e">
        <x:f>HYPERLINK("https://item.taobao.com/item.htm?id=1032374922387","打开商品")</x:f>
        <x:v>HYPERLINK is not implemented. linkLocation=https://item.taobao.com/item.htm?id=1032374922387, friendlyName=打开商品</x:v>
      </x:c>
      <x:c r="M999" s="25" t="e">
        <x:f>HYPERLINK("https://data.zhiyitech.cn/itemDetail/overview/base?itemId=1032374922387","打开知衣")</x:f>
        <x:v>HYPERLINK is not implemented. linkLocation=https://data.zhiyitech.cn/itemDetail/overview/base?itemId=1032374922387, friendlyName=打开知衣</x:v>
      </x:c>
      <x:c r="N999" s="25" t="e">
        <x:f>HYPERLINK("https://img.alicdn.com/bao/uploaded/i4/3382968879/O1CN01xk58Xb2FSdnTHLO8Q_!!4611686018427380271-0-item_pic.jpg","查看主图")</x:f>
        <x:v>HYPERLINK is not implemented. linkLocation=https://img.alicdn.com/bao/uploaded/i4/3382968879/O1CN01xk58Xb2FSdnTHLO8Q_!!4611686018427380271-0-item_pic.jpg, friendlyName=查看主图</x:v>
      </x:c>
      <x:c r="O999" s="9" t="str">
        <x:v>标题及既有类目语义复核；【IMMI】26春夏新品复古工字褶牛仔半身裙MWEFWDSK0819X；原类目及标题已能确认半身裙；展示使用已知大类，未知裙长下沉到结构字段，不强猜长短。</x:v>
      </x:c>
      <x:c r="P999" s="9" t="str">
        <x:v>普通男女装</x:v>
      </x:c>
      <x:c r="Q999" s="9" t="str">
        <x:v>W_SKIRTS_AVGPAID_1700_1800_ANNUAL2026.xlsx</x:v>
      </x:c>
      <x:c r="R999" s="9" t="str">
        <x:v>默认</x:v>
      </x:c>
      <x:c r="S999" s="9" t="n">
        <x:v>188</x:v>
      </x:c>
      <x:c r="T999" s="9" t="str">
        <x:v>c25ed77c53c7c5cfcf728778a0e9b297d8689503f62756a939cbd534ca9b587a</x:v>
      </x:c>
      <x:c r="U999" s="9" t="str">
        <x:v>W_SKIRTS_AVGPAID_1700_1800_ANNUAL2026</x:v>
      </x:c>
      <x:c r="V999" s="9" t="str">
        <x:v>W_SKIRTS_AVGPAID_1700_1800_ANNUAL2026.xlsx / 默认 / 第188行 / SHA256 c25ed77c53c7c5cfcf728778a0e9b297d8689503f62756a939cbd534ca9b587a</x:v>
      </x:c>
    </x:row>
    <x:row r="1000" ht="58" customHeight="1">
      <x:c r="A1000" s="23" t="str">
        <x:v>1032521594161</x:v>
      </x:c>
      <x:c r="B1000" s="22"/>
      <x:c r="C1000" s="22"/>
      <x:c r="D1000" s="22"/>
      <x:c r="E1000" s="9" t="str">
        <x:v>裙长未明确</x:v>
      </x:c>
      <x:c r="F1000" s="9" t="str">
        <x:v>裙装</x:v>
      </x:c>
      <x:c r="G1000" s="9" t="str">
        <x:v>半身裙</x:v>
      </x:c>
      <x:c r="H1000" s="9" t="str">
        <x:v>女</x:v>
      </x:c>
      <x:c r="I1000" s="9" t="str">
        <x:v>And Wander 主推款松紧腰按扣刺绣logo褶皱尼龙开衩机能直筒半裙</x:v>
      </x:c>
      <x:c r="J1000" s="9" t="str">
        <x:v>未提供品牌</x:v>
      </x:c>
      <x:c r="K1000" s="24" t="n">
        <x:v>1740.22</x:v>
      </x:c>
      <x:c r="L1000" s="25" t="e">
        <x:f>HYPERLINK("https://item.taobao.com/item.htm?id=1032521594161","打开商品")</x:f>
        <x:v>HYPERLINK is not implemented. linkLocation=https://item.taobao.com/item.htm?id=1032521594161, friendlyName=打开商品</x:v>
      </x:c>
      <x:c r="M1000" s="25" t="e">
        <x:f>HYPERLINK("https://data.zhiyitech.cn/itemDetail/overview/base?itemId=1032521594161","打开知衣")</x:f>
        <x:v>HYPERLINK is not implemented. linkLocation=https://data.zhiyitech.cn/itemDetail/overview/base?itemId=1032521594161, friendlyName=打开知衣</x:v>
      </x:c>
      <x:c r="N1000" s="25" t="e">
        <x:f>HYPERLINK("https://img.alicdn.com/bao/uploaded/i1/2204762071/O1CN01mFTlVa1RAZNfEvCzk_!!2204762071.jpg","查看主图")</x:f>
        <x:v>HYPERLINK is not implemented. linkLocation=https://img.alicdn.com/bao/uploaded/i1/2204762071/O1CN01mFTlVa1RAZNfEvCzk_!!2204762071.jpg, friendlyName=查看主图</x:v>
      </x:c>
      <x:c r="O1000" s="9" t="str">
        <x:v>标题及既有类目语义复核；And Wander 主推款松紧腰按扣刺绣logo褶皱尼龙开衩机能直筒半裙；原类目及标题已能确认半身裙；展示使用已知大类，未知裙长下沉到结构字段，不强猜长短。</x:v>
      </x:c>
      <x:c r="P1000" s="9" t="str">
        <x:v>普通男女装</x:v>
      </x:c>
      <x:c r="Q1000" s="9" t="str">
        <x:v>W_SKIRTS_AVGPAID_1700_1800_ANNUAL2026.xlsx</x:v>
      </x:c>
      <x:c r="R1000" s="9" t="str">
        <x:v>默认</x:v>
      </x:c>
      <x:c r="S1000" s="9" t="n">
        <x:v>26</x:v>
      </x:c>
      <x:c r="T1000" s="9" t="str">
        <x:v>c25ed77c53c7c5cfcf728778a0e9b297d8689503f62756a939cbd534ca9b587a</x:v>
      </x:c>
      <x:c r="U1000" s="9" t="str">
        <x:v>W_SKIRTS_AVGPAID_1700_1800_ANNUAL2026</x:v>
      </x:c>
      <x:c r="V1000" s="9" t="str">
        <x:v>W_SKIRTS_AVGPAID_1700_1800_ANNUAL2026.xlsx / 默认 / 第26行 / SHA256 c25ed77c53c7c5cfcf728778a0e9b297d8689503f62756a939cbd534ca9b587a</x:v>
      </x:c>
    </x:row>
    <x:row r="1001" ht="58" customHeight="1">
      <x:c r="A1001" s="23" t="str">
        <x:v>1038904472486</x:v>
      </x:c>
      <x:c r="B1001" s="22"/>
      <x:c r="C1001" s="22"/>
      <x:c r="D1001" s="22"/>
      <x:c r="E1001" s="9" t="str">
        <x:v>裙长未明确</x:v>
      </x:c>
      <x:c r="F1001" s="9" t="str">
        <x:v>裙装</x:v>
      </x:c>
      <x:c r="G1001" s="9" t="str">
        <x:v>半身裙</x:v>
      </x:c>
      <x:c r="H1001" s="9" t="str">
        <x:v>女</x:v>
      </x:c>
      <x:c r="I1001" s="9" t="str">
        <x:v>国现 | 西班牙sita murt水绿色轻柔有机棉镂空蕾丝针织仙女裙SS26</x:v>
      </x:c>
      <x:c r="J1001" s="9" t="str">
        <x:v>未提供品牌</x:v>
      </x:c>
      <x:c r="K1001" s="24" t="n">
        <x:v>1736</x:v>
      </x:c>
      <x:c r="L1001" s="25" t="e">
        <x:f>HYPERLINK("https://item.taobao.com/item.htm?id=1038904472486","打开商品")</x:f>
        <x:v>HYPERLINK is not implemented. linkLocation=https://item.taobao.com/item.htm?id=1038904472486, friendlyName=打开商品</x:v>
      </x:c>
      <x:c r="M1001" s="25" t="e">
        <x:f>HYPERLINK("https://data.zhiyitech.cn/itemDetail/overview/base?itemId=1038904472486","打开知衣")</x:f>
        <x:v>HYPERLINK is not implemented. linkLocation=https://data.zhiyitech.cn/itemDetail/overview/base?itemId=1038904472486, friendlyName=打开知衣</x:v>
      </x:c>
      <x:c r="N1001" s="25" t="e">
        <x:f>HYPERLINK("https://img.alicdn.com/bao/uploaded/i4/2460009433/O1CN01kSwuPT2JYNDeS8dR6_!!2460009433.jpg","查看主图")</x:f>
        <x:v>HYPERLINK is not implemented. linkLocation=https://img.alicdn.com/bao/uploaded/i4/2460009433/O1CN01kSwuPT2JYNDeS8dR6_!!2460009433.jpg, friendlyName=查看主图</x:v>
      </x:c>
      <x:c r="O1001" s="9" t="str">
        <x:v>标题及既有类目语义复核；国现 | 西班牙sita murt水绿色轻柔有机棉镂空蕾丝针织仙女裙SS26；原类目及标题已能确认半身裙；展示使用已知大类，未知裙长下沉到结构字段，不强猜长短。</x:v>
      </x:c>
      <x:c r="P1001" s="9" t="str">
        <x:v>普通男女装</x:v>
      </x:c>
      <x:c r="Q1001" s="9" t="str">
        <x:v>W_SKIRTS_AVGPAID_1700_1800_ANNUAL2026.xlsx</x:v>
      </x:c>
      <x:c r="R1001" s="9" t="str">
        <x:v>默认</x:v>
      </x:c>
      <x:c r="S1001" s="9" t="n">
        <x:v>381</x:v>
      </x:c>
      <x:c r="T1001" s="9" t="str">
        <x:v>c25ed77c53c7c5cfcf728778a0e9b297d8689503f62756a939cbd534ca9b587a</x:v>
      </x:c>
      <x:c r="U1001" s="9" t="str">
        <x:v>W_SKIRTS_AVGPAID_1700_1800_ANNUAL2026</x:v>
      </x:c>
      <x:c r="V1001" s="9" t="str">
        <x:v>W_SKIRTS_AVGPAID_1700_1800_ANNUAL2026.xlsx / 默认 / 第381行 / SHA256 c25ed77c53c7c5cfcf728778a0e9b297d8689503f62756a939cbd534ca9b587a</x:v>
      </x:c>
    </x:row>
    <x:row r="1002" ht="58" customHeight="1">
      <x:c r="A1002" s="23" t="str">
        <x:v>1039600502916</x:v>
      </x:c>
      <x:c r="B1002" s="22"/>
      <x:c r="C1002" s="22"/>
      <x:c r="D1002" s="22"/>
      <x:c r="E1002" s="9" t="str">
        <x:v>裙长未明确</x:v>
      </x:c>
      <x:c r="F1002" s="9" t="str">
        <x:v>裙装</x:v>
      </x:c>
      <x:c r="G1002" s="9" t="str">
        <x:v>半身裙</x:v>
      </x:c>
      <x:c r="H1002" s="9" t="str">
        <x:v>女</x:v>
      </x:c>
      <x:c r="I1002" s="9" t="str">
        <x:v>大果store【王炸水绒皮裙】欧洲制皮~超薄北非进口baby山羊反绒皮</x:v>
      </x:c>
      <x:c r="J1002" s="9" t="str">
        <x:v>未提供品牌</x:v>
      </x:c>
      <x:c r="K1002" s="24" t="n">
        <x:v>1538.28</x:v>
      </x:c>
      <x:c r="L1002" s="25" t="e">
        <x:f>HYPERLINK("https://item.taobao.com/item.htm?id=1039600502916","打开商品")</x:f>
        <x:v>HYPERLINK is not implemented. linkLocation=https://item.taobao.com/item.htm?id=1039600502916, friendlyName=打开商品</x:v>
      </x:c>
      <x:c r="M1002" s="25" t="e">
        <x:f>HYPERLINK("https://data.zhiyitech.cn/itemDetail/overview/base?itemId=1039600502916","打开知衣")</x:f>
        <x:v>HYPERLINK is not implemented. linkLocation=https://data.zhiyitech.cn/itemDetail/overview/base?itemId=1039600502916, friendlyName=打开知衣</x:v>
      </x:c>
      <x:c r="N1002" s="25" t="e">
        <x:f>HYPERLINK("https://img.alicdn.com/bao/uploaded/i1/197206584/O1CN017EVhO11yVWpOqcXMc~crop,197,0,1080,1440~_!!197206584.jpg","查看主图")</x:f>
        <x:v>HYPERLINK is not implemented. linkLocation=https://img.alicdn.com/bao/uploaded/i1/197206584/O1CN017EVhO11yVWpOqcXMc~crop,197,0,1080,1440~_!!197206584.jpg, friendlyName=查看主图</x:v>
      </x:c>
      <x:c r="O1002" s="9" t="str">
        <x:v>标题及既有类目语义复核；大果store【王炸水绒皮裙】欧洲制皮~超薄北非进口baby山羊反绒皮；原类目及标题已能确认半身裙；展示使用已知大类，未知裙长下沉到结构字段，不强猜长短。</x:v>
      </x:c>
      <x:c r="P1002" s="9" t="str">
        <x:v>普通男女装</x:v>
      </x:c>
      <x:c r="Q1002" s="9" t="str">
        <x:v>W_SKIRTS_AVGPAID_1500_1600_ANNUAL2026.xlsx</x:v>
      </x:c>
      <x:c r="R1002" s="9" t="str">
        <x:v>默认</x:v>
      </x:c>
      <x:c r="S1002" s="9" t="n">
        <x:v>407</x:v>
      </x:c>
      <x:c r="T1002" s="9" t="str">
        <x:v>deede8b56943df4f914be45dba170f12e69064023d6ef0e88dbde1764f6ba23e</x:v>
      </x:c>
      <x:c r="U1002" s="9" t="str">
        <x:v>W_SKIRTS_AVGPAID_1500_1600_ANNUAL2026</x:v>
      </x:c>
      <x:c r="V1002" s="9" t="str">
        <x:v>W_SKIRTS_AVGPAID_1500_1600_ANNUAL2026.xlsx / 默认 / 第407行 / SHA256 deede8b56943df4f914be45dba170f12e69064023d6ef0e88dbde1764f6ba23e</x:v>
      </x:c>
    </x:row>
    <x:row r="1003" ht="58" customHeight="1">
      <x:c r="A1003" s="23" t="str">
        <x:v>1046837298676</x:v>
      </x:c>
      <x:c r="B1003" s="22"/>
      <x:c r="C1003" s="22"/>
      <x:c r="D1003" s="22"/>
      <x:c r="E1003" s="9" t="str">
        <x:v>裙长未明确</x:v>
      </x:c>
      <x:c r="F1003" s="9" t="str">
        <x:v>裙装</x:v>
      </x:c>
      <x:c r="G1003" s="9" t="str">
        <x:v>半身裙</x:v>
      </x:c>
      <x:c r="H1003" s="9" t="str">
        <x:v>女</x:v>
      </x:c>
      <x:c r="I1003" s="9" t="str">
        <x:v>PENNYPENG 旧色绮梦 高定复古印花塑型时尚真丝印花半裙</x:v>
      </x:c>
      <x:c r="J1003" s="9" t="str">
        <x:v>未提供品牌</x:v>
      </x:c>
      <x:c r="K1003" s="24" t="n">
        <x:v>1580</x:v>
      </x:c>
      <x:c r="L1003" s="25" t="e">
        <x:f>HYPERLINK("https://item.taobao.com/item.htm?id=1046837298676","打开商品")</x:f>
        <x:v>HYPERLINK is not implemented. linkLocation=https://item.taobao.com/item.htm?id=1046837298676, friendlyName=打开商品</x:v>
      </x:c>
      <x:c r="M1003" s="25" t="e">
        <x:f>HYPERLINK("https://data.zhiyitech.cn/itemDetail/overview/base?itemId=1046837298676","打开知衣")</x:f>
        <x:v>HYPERLINK is not implemented. linkLocation=https://data.zhiyitech.cn/itemDetail/overview/base?itemId=1046837298676, friendlyName=打开知衣</x:v>
      </x:c>
      <x:c r="N1003" s="25" t="e">
        <x:f>HYPERLINK("https://img.alicdn.com/bao/uploaded/i3/2747985175/O1CN01XSufUY1o6CmGO0rnL_!!2747985175.jpg","查看主图")</x:f>
        <x:v>HYPERLINK is not implemented. linkLocation=https://img.alicdn.com/bao/uploaded/i3/2747985175/O1CN01XSufUY1o6CmGO0rnL_!!2747985175.jpg, friendlyName=查看主图</x:v>
      </x:c>
      <x:c r="O1003" s="9" t="str">
        <x:v>标题及既有类目语义复核；PENNYPENG 旧色绮梦 高定复古印花塑型时尚真丝印花半裙；原类目及标题已能确认半身裙；展示使用已知大类，未知裙长下沉到结构字段，不强猜长短。</x:v>
      </x:c>
      <x:c r="P1003" s="9" t="str">
        <x:v>普通男女装</x:v>
      </x:c>
      <x:c r="Q1003" s="9" t="str">
        <x:v>W_SKIRTS_AVGPAID_1500_1600_ANNUAL2026.xlsx</x:v>
      </x:c>
      <x:c r="R1003" s="9" t="str">
        <x:v>默认</x:v>
      </x:c>
      <x:c r="S1003" s="9" t="n">
        <x:v>234</x:v>
      </x:c>
      <x:c r="T1003" s="9" t="str">
        <x:v>deede8b56943df4f914be45dba170f12e69064023d6ef0e88dbde1764f6ba23e</x:v>
      </x:c>
      <x:c r="U1003" s="9" t="str">
        <x:v>W_SKIRTS_AVGPAID_1500_1600_ANNUAL2026</x:v>
      </x:c>
      <x:c r="V1003" s="9" t="str">
        <x:v>W_SKIRTS_AVGPAID_1500_1600_ANNUAL2026.xlsx / 默认 / 第234行 / SHA256 deede8b56943df4f914be45dba170f12e69064023d6ef0e88dbde1764f6ba23e</x:v>
      </x:c>
    </x:row>
    <x:row r="1004" ht="58" customHeight="1">
      <x:c r="A1004" s="23" t="str">
        <x:v>1047709107531</x:v>
      </x:c>
      <x:c r="B1004" s="22"/>
      <x:c r="C1004" s="22"/>
      <x:c r="D1004" s="22"/>
      <x:c r="E1004" s="9" t="str">
        <x:v>裙长未明确</x:v>
      </x:c>
      <x:c r="F1004" s="9" t="str">
        <x:v>裙装</x:v>
      </x:c>
      <x:c r="G1004" s="9" t="str">
        <x:v>半身裙</x:v>
      </x:c>
      <x:c r="H1004" s="9" t="str">
        <x:v>女</x:v>
      </x:c>
      <x:c r="I1004" s="9" t="str">
        <x:v>Valacy's 重磅46姆米丝毛┋'夏洛特'立体剪裁收腰蝴蝶结坎肩/伞裙</x:v>
      </x:c>
      <x:c r="J1004" s="9" t="str">
        <x:v>未提供品牌</x:v>
      </x:c>
      <x:c r="K1004" s="24" t="n">
        <x:v>1703.57</x:v>
      </x:c>
      <x:c r="L1004" s="25" t="e">
        <x:f>HYPERLINK("https://item.taobao.com/item.htm?id=1047709107531","打开商品")</x:f>
        <x:v>HYPERLINK is not implemented. linkLocation=https://item.taobao.com/item.htm?id=1047709107531, friendlyName=打开商品</x:v>
      </x:c>
      <x:c r="M1004" s="25" t="e">
        <x:f>HYPERLINK("https://data.zhiyitech.cn/itemDetail/overview/base?itemId=1047709107531","打开知衣")</x:f>
        <x:v>HYPERLINK is not implemented. linkLocation=https://data.zhiyitech.cn/itemDetail/overview/base?itemId=1047709107531, friendlyName=打开知衣</x:v>
      </x:c>
      <x:c r="N1004" s="25" t="e">
        <x:f>HYPERLINK("https://img.alicdn.com/bao/uploaded/i2/104396604/O1CN01RNqhZt1yegl43TXU3~crop,0,76,1500,1500~_!!104396604.jpg","查看主图")</x:f>
        <x:v>HYPERLINK is not implemented. linkLocation=https://img.alicdn.com/bao/uploaded/i2/104396604/O1CN01RNqhZt1yegl43TXU3~crop,0,76,1500,1500~_!!104396604.jpg, friendlyName=查看主图</x:v>
      </x:c>
      <x:c r="O1004" s="9" t="str">
        <x:v>标题及既有类目语义复核；Valacy's 重磅46姆米丝毛┋'夏洛特'立体剪裁收腰蝴蝶结坎肩/伞裙；原类目及标题已能确认半身裙；展示使用已知大类，未知裙长下沉到结构字段，不强猜长短。</x:v>
      </x:c>
      <x:c r="P1004" s="9" t="str">
        <x:v>普通男女装</x:v>
      </x:c>
      <x:c r="Q1004" s="9" t="str">
        <x:v>W_SKIRTS_AVGPAID_1700_1800_ANNUAL2026.xlsx</x:v>
      </x:c>
      <x:c r="R1004" s="9" t="str">
        <x:v>默认</x:v>
      </x:c>
      <x:c r="S1004" s="9" t="n">
        <x:v>59</x:v>
      </x:c>
      <x:c r="T1004" s="9" t="str">
        <x:v>c25ed77c53c7c5cfcf728778a0e9b297d8689503f62756a939cbd534ca9b587a</x:v>
      </x:c>
      <x:c r="U1004" s="9" t="str">
        <x:v>W_SKIRTS_AVGPAID_1700_1800_ANNUAL2026</x:v>
      </x:c>
      <x:c r="V1004" s="9" t="str">
        <x:v>W_SKIRTS_AVGPAID_1700_1800_ANNUAL2026.xlsx / 默认 / 第59行 / SHA256 c25ed77c53c7c5cfcf728778a0e9b297d8689503f62756a939cbd534ca9b587a</x:v>
      </x:c>
    </x:row>
    <x:row r="1005" ht="58" customHeight="1">
      <x:c r="A1005" s="23" t="str">
        <x:v>1050093594248</x:v>
      </x:c>
      <x:c r="B1005" s="22"/>
      <x:c r="C1005" s="22"/>
      <x:c r="D1005" s="22"/>
      <x:c r="E1005" s="9" t="str">
        <x:v>裙长未明确</x:v>
      </x:c>
      <x:c r="F1005" s="9" t="str">
        <x:v>裙装</x:v>
      </x:c>
      <x:c r="G1005" s="9" t="str">
        <x:v>半身裙</x:v>
      </x:c>
      <x:c r="H1005" s="9" t="str">
        <x:v>女</x:v>
      </x:c>
      <x:c r="I1005" s="9" t="str">
        <x:v>【AUBRUINO】 复古文艺撞色拼接图案抽绳半身裙26夏季款JUNESHAN</x:v>
      </x:c>
      <x:c r="J1005" s="9" t="str">
        <x:v>未提供品牌</x:v>
      </x:c>
      <x:c r="K1005" s="24" t="n">
        <x:v>1359.22</x:v>
      </x:c>
      <x:c r="L1005" s="25" t="e">
        <x:f>HYPERLINK("https://item.taobao.com/item.htm?id=1050093594248","打开商品")</x:f>
        <x:v>HYPERLINK is not implemented. linkLocation=https://item.taobao.com/item.htm?id=1050093594248, friendlyName=打开商品</x:v>
      </x:c>
      <x:c r="M1005" s="25" t="e">
        <x:f>HYPERLINK("https://data.zhiyitech.cn/itemDetail/overview/base?itemId=1050093594248","打开知衣")</x:f>
        <x:v>HYPERLINK is not implemented. linkLocation=https://data.zhiyitech.cn/itemDetail/overview/base?itemId=1050093594248, friendlyName=打开知衣</x:v>
      </x:c>
      <x:c r="N1005" s="25" t="e">
        <x:f>HYPERLINK("https://img.alicdn.com/bao/uploaded/i4/2204762071/O1CN01DZiOgh1RAZOMjVa7s_!!2204762071.jpg","查看主图")</x:f>
        <x:v>HYPERLINK is not implemented. linkLocation=https://img.alicdn.com/bao/uploaded/i4/2204762071/O1CN01DZiOgh1RAZOMjVa7s_!!2204762071.jpg, friendlyName=查看主图</x:v>
      </x:c>
      <x:c r="O1005" s="9" t="str">
        <x:v>标题及既有类目语义复核；【AUBRUINO】 复古文艺撞色拼接图案抽绳半身裙26夏季款JUNESHAN；原类目及标题已能确认半身裙；展示使用已知大类，未知裙长下沉到结构字段，不强猜长短。</x:v>
      </x:c>
      <x:c r="P1005" s="9" t="str">
        <x:v>普通男女装</x:v>
      </x:c>
      <x:c r="Q1005" s="9" t="str">
        <x:v>W_SKIRTS_AVGPAID_1300_1400_ANNUAL2026.xlsx</x:v>
      </x:c>
      <x:c r="R1005" s="9" t="str">
        <x:v>默认</x:v>
      </x:c>
      <x:c r="S1005" s="9" t="n">
        <x:v>441</x:v>
      </x:c>
      <x:c r="T1005" s="9" t="str">
        <x:v>bd4dae1e08e9eca7ddd0669235bf59107cdc418b9c2898fc16f36a7ab5748692</x:v>
      </x:c>
      <x:c r="U1005" s="9" t="str">
        <x:v>W_SKIRTS_AVGPAID_1300_1400_ANNUAL2026</x:v>
      </x:c>
      <x:c r="V1005" s="9" t="str">
        <x:v>W_SKIRTS_AVGPAID_1300_1400_ANNUAL2026.xlsx / 默认 / 第441行 / SHA256 bd4dae1e08e9eca7ddd0669235bf59107cdc418b9c2898fc16f36a7ab5748692</x:v>
      </x:c>
    </x:row>
    <x:row r="1006" ht="58" customHeight="1">
      <x:c r="A1006" s="23" t="str">
        <x:v>1051234908180</x:v>
      </x:c>
      <x:c r="B1006" s="22"/>
      <x:c r="C1006" s="22"/>
      <x:c r="D1006" s="22"/>
      <x:c r="E1006" s="9" t="str">
        <x:v>裙长未明确</x:v>
      </x:c>
      <x:c r="F1006" s="9" t="str">
        <x:v>裙装</x:v>
      </x:c>
      <x:c r="G1006" s="9" t="str">
        <x:v>半身裙</x:v>
      </x:c>
      <x:c r="H1006" s="9" t="str">
        <x:v>女</x:v>
      </x:c>
      <x:c r="I1006" s="9" t="str">
        <x:v>现货 SOWHAT买手店 PYNORA AKI极简松弛 轻薄羊毛醋酸直筒半身裙</x:v>
      </x:c>
      <x:c r="J1006" s="9" t="str">
        <x:v>未提供品牌</x:v>
      </x:c>
      <x:c r="K1006" s="24" t="n">
        <x:v>1711.09</x:v>
      </x:c>
      <x:c r="L1006" s="25" t="e">
        <x:f>HYPERLINK("https://item.taobao.com/item.htm?id=1051234908180","打开商品")</x:f>
        <x:v>HYPERLINK is not implemented. linkLocation=https://item.taobao.com/item.htm?id=1051234908180, friendlyName=打开商品</x:v>
      </x:c>
      <x:c r="M1006" s="25" t="e">
        <x:f>HYPERLINK("https://data.zhiyitech.cn/itemDetail/overview/base?itemId=1051234908180","打开知衣")</x:f>
        <x:v>HYPERLINK is not implemented. linkLocation=https://data.zhiyitech.cn/itemDetail/overview/base?itemId=1051234908180, friendlyName=打开知衣</x:v>
      </x:c>
      <x:c r="N1006" s="25" t="e">
        <x:f>HYPERLINK("https://img.alicdn.com/bao/uploaded/i2/1038937903/O1CN01rjV9IW28FdFNauLsf_!!1038937903.jpg","查看主图")</x:f>
        <x:v>HYPERLINK is not implemented. linkLocation=https://img.alicdn.com/bao/uploaded/i2/1038937903/O1CN01rjV9IW28FdFNauLsf_!!1038937903.jpg, friendlyName=查看主图</x:v>
      </x:c>
      <x:c r="O1006" s="9" t="str">
        <x:v>标题及既有类目语义复核；现货 SOWHAT买手店 PYNORA AKI极简松弛 轻薄羊毛醋酸直筒半身裙；原类目及标题已能确认半身裙；展示使用已知大类，未知裙长下沉到结构字段，不强猜长短。</x:v>
      </x:c>
      <x:c r="P1006" s="9" t="str">
        <x:v>普通男女装</x:v>
      </x:c>
      <x:c r="Q1006" s="9" t="str">
        <x:v>W_SKIRTS_AVGPAID_1700_1800_ANNUAL2026.xlsx</x:v>
      </x:c>
      <x:c r="R1006" s="9" t="str">
        <x:v>默认</x:v>
      </x:c>
      <x:c r="S1006" s="9" t="n">
        <x:v>250</x:v>
      </x:c>
      <x:c r="T1006" s="9" t="str">
        <x:v>c25ed77c53c7c5cfcf728778a0e9b297d8689503f62756a939cbd534ca9b587a</x:v>
      </x:c>
      <x:c r="U1006" s="9" t="str">
        <x:v>W_SKIRTS_AVGPAID_1700_1800_ANNUAL2026</x:v>
      </x:c>
      <x:c r="V1006" s="9" t="str">
        <x:v>W_SKIRTS_AVGPAID_1700_1800_ANNUAL2026.xlsx / 默认 / 第250行 / SHA256 c25ed77c53c7c5cfcf728778a0e9b297d8689503f62756a939cbd534ca9b587a</x:v>
      </x:c>
    </x:row>
    <x:row r="1007" ht="58" customHeight="1">
      <x:c r="A1007" s="23" t="str">
        <x:v>1052288747387</x:v>
      </x:c>
      <x:c r="B1007" s="22"/>
      <x:c r="C1007" s="22"/>
      <x:c r="D1007" s="22"/>
      <x:c r="E1007" s="9" t="str">
        <x:v>裙长未明确</x:v>
      </x:c>
      <x:c r="F1007" s="9" t="str">
        <x:v>裙装</x:v>
      </x:c>
      <x:c r="G1007" s="9" t="str">
        <x:v>半身裙</x:v>
      </x:c>
      <x:c r="H1007" s="9" t="str">
        <x:v>女</x:v>
      </x:c>
      <x:c r="I1007" s="9" t="str">
        <x:v>韩国正品 fermata 1052415  铜氨丝 条纹褶皱半身裙</x:v>
      </x:c>
      <x:c r="J1007" s="9" t="str">
        <x:v>未提供品牌</x:v>
      </x:c>
      <x:c r="K1007" s="24" t="n">
        <x:v>1399.81</x:v>
      </x:c>
      <x:c r="L1007" s="25" t="e">
        <x:f>HYPERLINK("https://item.taobao.com/item.htm?id=1052288747387","打开商品")</x:f>
        <x:v>HYPERLINK is not implemented. linkLocation=https://item.taobao.com/item.htm?id=1052288747387, friendlyName=打开商品</x:v>
      </x:c>
      <x:c r="M1007" s="25" t="e">
        <x:f>HYPERLINK("https://data.zhiyitech.cn/itemDetail/overview/base?itemId=1052288747387","打开知衣")</x:f>
        <x:v>HYPERLINK is not implemented. linkLocation=https://data.zhiyitech.cn/itemDetail/overview/base?itemId=1052288747387, friendlyName=打开知衣</x:v>
      </x:c>
      <x:c r="N1007" s="25" t="e">
        <x:f>HYPERLINK("https://img.alicdn.com/bao/uploaded/i1/142369773/O1CN01qktWNL2M45tRmCATo_!!142369773.jpg","查看主图")</x:f>
        <x:v>HYPERLINK is not implemented. linkLocation=https://img.alicdn.com/bao/uploaded/i1/142369773/O1CN01qktWNL2M45tRmCATo_!!142369773.jpg, friendlyName=查看主图</x:v>
      </x:c>
      <x:c r="O1007" s="9" t="str">
        <x:v>标题及既有类目语义复核；韩国正品 fermata 1052415  铜氨丝 条纹褶皱半身裙；原类目及标题已能确认半身裙；展示使用已知大类，未知裙长下沉到结构字段，不强猜长短。</x:v>
      </x:c>
      <x:c r="P1007" s="9" t="str">
        <x:v>普通男女装</x:v>
      </x:c>
      <x:c r="Q1007" s="9" t="str">
        <x:v>W_SKIRTS_AVGPAID_1300_1400_ANNUAL2026.xlsx</x:v>
      </x:c>
      <x:c r="R1007" s="9" t="str">
        <x:v>默认</x:v>
      </x:c>
      <x:c r="S1007" s="9" t="n">
        <x:v>239</x:v>
      </x:c>
      <x:c r="T1007" s="9" t="str">
        <x:v>bd4dae1e08e9eca7ddd0669235bf59107cdc418b9c2898fc16f36a7ab5748692</x:v>
      </x:c>
      <x:c r="U1007" s="9" t="str">
        <x:v>W_SKIRTS_AVGPAID_1300_1400_ANNUAL2026</x:v>
      </x:c>
      <x:c r="V1007" s="9" t="str">
        <x:v>W_SKIRTS_AVGPAID_1300_1400_ANNUAL2026.xlsx / 默认 / 第239行 / SHA256 bd4dae1e08e9eca7ddd0669235bf59107cdc418b9c2898fc16f36a7ab5748692</x:v>
      </x:c>
    </x:row>
    <x:row r="1008" ht="58" customHeight="1">
      <x:c r="A1008" s="23" t="str">
        <x:v>1056440709610</x:v>
      </x:c>
      <x:c r="B1008" s="22"/>
      <x:c r="C1008" s="22"/>
      <x:c r="D1008" s="22"/>
      <x:c r="E1008" s="9" t="str">
        <x:v>裙长未明确</x:v>
      </x:c>
      <x:c r="F1008" s="9" t="str">
        <x:v>裙装</x:v>
      </x:c>
      <x:c r="G1008" s="9" t="str">
        <x:v>半身裙</x:v>
      </x:c>
      <x:c r="H1008" s="9" t="str">
        <x:v>女</x:v>
      </x:c>
      <x:c r="I1008" s="9" t="str">
        <x:v>现~韩国正品 verso 1060512  垂坠半身裙</x:v>
      </x:c>
      <x:c r="J1008" s="9" t="str">
        <x:v>未提供品牌</x:v>
      </x:c>
      <x:c r="K1008" s="24" t="n">
        <x:v>1381.37</x:v>
      </x:c>
      <x:c r="L1008" s="25" t="e">
        <x:f>HYPERLINK("https://item.taobao.com/item.htm?id=1056440709610","打开商品")</x:f>
        <x:v>HYPERLINK is not implemented. linkLocation=https://item.taobao.com/item.htm?id=1056440709610, friendlyName=打开商品</x:v>
      </x:c>
      <x:c r="M1008" s="25" t="e">
        <x:f>HYPERLINK("https://data.zhiyitech.cn/itemDetail/overview/base?itemId=1056440709610","打开知衣")</x:f>
        <x:v>HYPERLINK is not implemented. linkLocation=https://data.zhiyitech.cn/itemDetail/overview/base?itemId=1056440709610, friendlyName=打开知衣</x:v>
      </x:c>
      <x:c r="N1008" s="25" t="e">
        <x:f>HYPERLINK("https://img.alicdn.com/bao/uploaded/i1/142369773/O1CN01R3Q6Xr2M45tbNTW3o~crop,0,189,1179,1179~_!!142369773.jpg","查看主图")</x:f>
        <x:v>HYPERLINK is not implemented. linkLocation=https://img.alicdn.com/bao/uploaded/i1/142369773/O1CN01R3Q6Xr2M45tbNTW3o~crop,0,189,1179,1179~_!!142369773.jpg, friendlyName=查看主图</x:v>
      </x:c>
      <x:c r="O1008" s="9" t="str">
        <x:v>标题及既有类目语义复核；现~韩国正品 verso 1060512  垂坠半身裙；原类目及标题已能确认半身裙；展示使用已知大类，未知裙长下沉到结构字段，不强猜长短。</x:v>
      </x:c>
      <x:c r="P1008" s="9" t="str">
        <x:v>普通男女装</x:v>
      </x:c>
      <x:c r="Q1008" s="9" t="str">
        <x:v>W_SKIRTS_AVGPAID_1300_1400_ANNUAL2026.xlsx</x:v>
      </x:c>
      <x:c r="R1008" s="9" t="str">
        <x:v>默认</x:v>
      </x:c>
      <x:c r="S1008" s="9" t="n">
        <x:v>160</x:v>
      </x:c>
      <x:c r="T1008" s="9" t="str">
        <x:v>bd4dae1e08e9eca7ddd0669235bf59107cdc418b9c2898fc16f36a7ab5748692</x:v>
      </x:c>
      <x:c r="U1008" s="9" t="str">
        <x:v>W_SKIRTS_AVGPAID_1300_1400_ANNUAL2026</x:v>
      </x:c>
      <x:c r="V1008" s="9" t="str">
        <x:v>W_SKIRTS_AVGPAID_1300_1400_ANNUAL2026.xlsx / 默认 / 第160行 / SHA256 bd4dae1e08e9eca7ddd0669235bf59107cdc418b9c2898fc16f36a7ab5748692</x:v>
      </x:c>
    </x:row>
    <x:row r="1009" ht="58" customHeight="1">
      <x:c r="A1009" s="23" t="str">
        <x:v>1074015424312</x:v>
      </x:c>
      <x:c r="B1009" s="22"/>
      <x:c r="C1009" s="22"/>
      <x:c r="D1009" s="22"/>
      <x:c r="E1009" s="9" t="str">
        <x:v>裙长未明确</x:v>
      </x:c>
      <x:c r="F1009" s="9" t="str">
        <x:v>裙装</x:v>
      </x:c>
      <x:c r="G1009" s="9" t="str">
        <x:v>半身裙</x:v>
      </x:c>
      <x:c r="H1009" s="9" t="str">
        <x:v>女</x:v>
      </x:c>
      <x:c r="I1009" s="9" t="str">
        <x:v>LemonChen秋日刚需皮革 色彩进口羊皮纳帕纹细腰带高腰迷笛半裙</x:v>
      </x:c>
      <x:c r="J1009" s="9" t="str">
        <x:v>未提供品牌</x:v>
      </x:c>
      <x:c r="K1009" s="24" t="n">
        <x:v>1754.66</x:v>
      </x:c>
      <x:c r="L1009" s="25" t="e">
        <x:f>HYPERLINK("https://item.taobao.com/item.htm?id=1074015424312","打开商品")</x:f>
        <x:v>HYPERLINK is not implemented. linkLocation=https://item.taobao.com/item.htm?id=1074015424312, friendlyName=打开商品</x:v>
      </x:c>
      <x:c r="M1009" s="25" t="e">
        <x:f>HYPERLINK("https://data.zhiyitech.cn/itemDetail/overview/base?itemId=1074015424312","打开知衣")</x:f>
        <x:v>HYPERLINK is not implemented. linkLocation=https://data.zhiyitech.cn/itemDetail/overview/base?itemId=1074015424312, friendlyName=打开知衣</x:v>
      </x:c>
      <x:c r="N1009" s="25" t="e">
        <x:f>HYPERLINK("https://img.alicdn.com/imgextra/i3/247870837/O1CN01yi1iz20D6MG3FPpA_!!247870837.jpg","查看主图")</x:f>
        <x:v>HYPERLINK is not implemented. linkLocation=https://img.alicdn.com/imgextra/i3/247870837/O1CN01yi1iz20D6MG3FPpA_!!247870837.jpg, friendlyName=查看主图</x:v>
      </x:c>
      <x:c r="O1009" s="9" t="str">
        <x:v>标题及既有类目语义复核；LemonChen秋日刚需皮革 色彩进口羊皮纳帕纹细腰带高腰迷笛半裙；原类目及标题已能确认半身裙；展示使用已知大类，未知裙长下沉到结构字段，不强猜长短。</x:v>
      </x:c>
      <x:c r="P1009" s="9" t="str">
        <x:v>普通男女装</x:v>
      </x:c>
      <x:c r="Q1009" s="9" t="str">
        <x:v>W_SKIRTS_AVGPAID_1700_1800_ANNUAL2026.xlsx</x:v>
      </x:c>
      <x:c r="R1009" s="9" t="str">
        <x:v>默认</x:v>
      </x:c>
      <x:c r="S1009" s="9" t="n">
        <x:v>313</x:v>
      </x:c>
      <x:c r="T1009" s="9" t="str">
        <x:v>c25ed77c53c7c5cfcf728778a0e9b297d8689503f62756a939cbd534ca9b587a</x:v>
      </x:c>
      <x:c r="U1009" s="9" t="str">
        <x:v>W_SKIRTS_AVGPAID_1700_1800_ANNUAL2026</x:v>
      </x:c>
      <x:c r="V1009" s="9" t="str">
        <x:v>W_SKIRTS_AVGPAID_1700_1800_ANNUAL2026.xlsx / 默认 / 第313行 / SHA256 c25ed77c53c7c5cfcf728778a0e9b297d8689503f62756a939cbd534ca9b587a</x:v>
      </x:c>
    </x:row>
    <x:row r="1010" ht="58" customHeight="1">
      <x:c r="A1010" s="23" t="str">
        <x:v>1086761079803</x:v>
      </x:c>
      <x:c r="B1010" s="22"/>
      <x:c r="C1010" s="22"/>
      <x:c r="D1010" s="22"/>
      <x:c r="E1010" s="9" t="str">
        <x:v>裙长未明确</x:v>
      </x:c>
      <x:c r="F1010" s="9" t="str">
        <x:v>裙装</x:v>
      </x:c>
      <x:c r="G1010" s="9" t="str">
        <x:v>半身裙</x:v>
      </x:c>
      <x:c r="H1010" s="9" t="str">
        <x:v>女</x:v>
      </x:c>
      <x:c r="I1010" s="9" t="str">
        <x:v>ASHLEYASS“罗曼尼红”小母羊皮后摆开叉弹力包臀皮半身裙</x:v>
      </x:c>
      <x:c r="J1010" s="9" t="str">
        <x:v>未提供品牌</x:v>
      </x:c>
      <x:c r="K1010" s="24" t="n">
        <x:v>1591.73</x:v>
      </x:c>
      <x:c r="L1010" s="25" t="e">
        <x:f>HYPERLINK("https://item.taobao.com/item.htm?id=1086761079803","打开商品")</x:f>
        <x:v>HYPERLINK is not implemented. linkLocation=https://item.taobao.com/item.htm?id=1086761079803, friendlyName=打开商品</x:v>
      </x:c>
      <x:c r="M1010" s="25" t="e">
        <x:f>HYPERLINK("https://data.zhiyitech.cn/itemDetail/overview/base?itemId=1086761079803","打开知衣")</x:f>
        <x:v>HYPERLINK is not implemented. linkLocation=https://data.zhiyitech.cn/itemDetail/overview/base?itemId=1086761079803, friendlyName=打开知衣</x:v>
      </x:c>
      <x:c r="N1010" s="25" t="e">
        <x:f>HYPERLINK("https://img.alicdn.com/bao/uploaded/i1/2220937335401/O1CN01MqkXcgi6wTJ43lmS_!!2220937335401.jpg","查看主图")</x:f>
        <x:v>HYPERLINK is not implemented. linkLocation=https://img.alicdn.com/bao/uploaded/i1/2220937335401/O1CN01MqkXcgi6wTJ43lmS_!!2220937335401.jpg, friendlyName=查看主图</x:v>
      </x:c>
      <x:c r="O1010" s="9" t="str">
        <x:v>标题及既有类目语义复核；ASHLEYASS“罗曼尼红”小母羊皮后摆开叉弹力包臀皮半身裙；原类目及标题已能确认半身裙；展示使用已知大类，未知裙长下沉到结构字段，不强猜长短。</x:v>
      </x:c>
      <x:c r="P1010" s="9" t="str">
        <x:v>普通男女装</x:v>
      </x:c>
      <x:c r="Q1010" s="9" t="str">
        <x:v>W_SKIRTS_AVGPAID_1500_1600_ANNUAL2026.xlsx</x:v>
      </x:c>
      <x:c r="R1010" s="9" t="str">
        <x:v>默认</x:v>
      </x:c>
      <x:c r="S1010" s="9" t="n">
        <x:v>193</x:v>
      </x:c>
      <x:c r="T1010" s="9" t="str">
        <x:v>deede8b56943df4f914be45dba170f12e69064023d6ef0e88dbde1764f6ba23e</x:v>
      </x:c>
      <x:c r="U1010" s="9" t="str">
        <x:v>W_SKIRTS_AVGPAID_1500_1600_ANNUAL2026</x:v>
      </x:c>
      <x:c r="V1010" s="9" t="str">
        <x:v>W_SKIRTS_AVGPAID_1500_1600_ANNUAL2026.xlsx / 默认 / 第193行 / SHA256 deede8b56943df4f914be45dba170f12e69064023d6ef0e88dbde1764f6ba23e</x:v>
      </x:c>
    </x:row>
    <x:row r="1011" ht="58" customHeight="1">
      <x:c r="A1011" s="23" t="str">
        <x:v>641972977106</x:v>
      </x:c>
      <x:c r="B1011" s="22"/>
      <x:c r="C1011" s="22"/>
      <x:c r="D1011" s="22"/>
      <x:c r="E1011" s="9" t="str">
        <x:v>裙长未明确</x:v>
      </x:c>
      <x:c r="F1011" s="9" t="str">
        <x:v>裙装</x:v>
      </x:c>
      <x:c r="G1011" s="9" t="str">
        <x:v>半身裙</x:v>
      </x:c>
      <x:c r="H1011" s="9" t="str">
        <x:v>女</x:v>
      </x:c>
      <x:c r="I1011" s="9" t="str">
        <x:v>器象和实原创女装植物染柞蚕丝重工抽褶半身裙宽松飘逸大摆百褶裙</x:v>
      </x:c>
      <x:c r="J1011" s="9" t="str">
        <x:v>未提供品牌</x:v>
      </x:c>
      <x:c r="K1011" s="24" t="n">
        <x:v>1757.78</x:v>
      </x:c>
      <x:c r="L1011" s="25" t="e">
        <x:f>HYPERLINK("https://item.taobao.com/item.htm?id=641972977106","打开商品")</x:f>
        <x:v>HYPERLINK is not implemented. linkLocation=https://item.taobao.com/item.htm?id=641972977106, friendlyName=打开商品</x:v>
      </x:c>
      <x:c r="M1011" s="25" t="e">
        <x:f>HYPERLINK("https://data.zhiyitech.cn/itemDetail/overview/base?itemId=641972977106","打开知衣")</x:f>
        <x:v>HYPERLINK is not implemented. linkLocation=https://data.zhiyitech.cn/itemDetail/overview/base?itemId=641972977106, friendlyName=打开知衣</x:v>
      </x:c>
      <x:c r="N1011" s="25" t="e">
        <x:f>HYPERLINK("https://img.alicdn.com/bao/uploaded/i2/2495473350/O1CN01VcBut91acLlRkYLDz_!!2495473350.jpg","查看主图")</x:f>
        <x:v>HYPERLINK is not implemented. linkLocation=https://img.alicdn.com/bao/uploaded/i2/2495473350/O1CN01VcBut91acLlRkYLDz_!!2495473350.jpg, friendlyName=查看主图</x:v>
      </x:c>
      <x:c r="O1011" s="9" t="str">
        <x:v>标题及既有类目语义复核；器象和实原创女装植物染柞蚕丝重工抽褶半身裙宽松飘逸大摆百褶裙；原类目及标题已能确认半身裙；展示使用已知大类，未知裙长下沉到结构字段，不强猜长短。</x:v>
      </x:c>
      <x:c r="P1011" s="9" t="str">
        <x:v>普通男女装</x:v>
      </x:c>
      <x:c r="Q1011" s="9" t="str">
        <x:v>W_SKIRTS_AVGPAID_1700_1800_ANNUAL2026.xlsx</x:v>
      </x:c>
      <x:c r="R1011" s="9" t="str">
        <x:v>默认</x:v>
      </x:c>
      <x:c r="S1011" s="9" t="n">
        <x:v>135</x:v>
      </x:c>
      <x:c r="T1011" s="9" t="str">
        <x:v>c25ed77c53c7c5cfcf728778a0e9b297d8689503f62756a939cbd534ca9b587a</x:v>
      </x:c>
      <x:c r="U1011" s="9" t="str">
        <x:v>W_SKIRTS_AVGPAID_1700_1800_ANNUAL2026</x:v>
      </x:c>
      <x:c r="V1011" s="9" t="str">
        <x:v>W_SKIRTS_AVGPAID_1700_1800_ANNUAL2026.xlsx / 默认 / 第135行 / SHA256 c25ed77c53c7c5cfcf728778a0e9b297d8689503f62756a939cbd534ca9b587a</x:v>
      </x:c>
    </x:row>
    <x:row r="1012" ht="58" customHeight="1">
      <x:c r="A1012" s="23" t="str">
        <x:v>658253134792</x:v>
      </x:c>
      <x:c r="B1012" s="22"/>
      <x:c r="C1012" s="22"/>
      <x:c r="D1012" s="22"/>
      <x:c r="E1012" s="9" t="str">
        <x:v>裙长未明确</x:v>
      </x:c>
      <x:c r="F1012" s="9" t="str">
        <x:v>裙装</x:v>
      </x:c>
      <x:c r="G1012" s="9" t="str">
        <x:v>半身裙</x:v>
      </x:c>
      <x:c r="H1012" s="9" t="str">
        <x:v>女</x:v>
      </x:c>
      <x:c r="I1012" s="9" t="str">
        <x:v>【Xodgz定制】大家都爱的小黑裙 精纺山羊绒通勤百搭显瘦针织半裙</x:v>
      </x:c>
      <x:c r="J1012" s="9" t="str">
        <x:v>未提供品牌</x:v>
      </x:c>
      <x:c r="K1012" s="24" t="n">
        <x:v>1571</x:v>
      </x:c>
      <x:c r="L1012" s="25" t="e">
        <x:f>HYPERLINK("https://item.taobao.com/item.htm?id=658253134792","打开商品")</x:f>
        <x:v>HYPERLINK is not implemented. linkLocation=https://item.taobao.com/item.htm?id=658253134792, friendlyName=打开商品</x:v>
      </x:c>
      <x:c r="M1012" s="25" t="e">
        <x:f>HYPERLINK("https://data.zhiyitech.cn/itemDetail/overview/base?itemId=658253134792","打开知衣")</x:f>
        <x:v>HYPERLINK is not implemented. linkLocation=https://data.zhiyitech.cn/itemDetail/overview/base?itemId=658253134792, friendlyName=打开知衣</x:v>
      </x:c>
      <x:c r="N1012" s="25" t="e">
        <x:f>HYPERLINK("https://img.alicdn.com/bao/uploaded/i2/40368206/O1CN01Ktbu6l2AUOpKfWSys_!!40368206.jpg","查看主图")</x:f>
        <x:v>HYPERLINK is not implemented. linkLocation=https://img.alicdn.com/bao/uploaded/i2/40368206/O1CN01Ktbu6l2AUOpKfWSys_!!40368206.jpg, friendlyName=查看主图</x:v>
      </x:c>
      <x:c r="O1012" s="9" t="str">
        <x:v>标题及既有类目语义复核；【Xodgz定制】大家都爱的小黑裙 精纺山羊绒通勤百搭显瘦针织半裙；原类目及标题已能确认半身裙；展示使用已知大类，未知裙长下沉到结构字段，不强猜长短。</x:v>
      </x:c>
      <x:c r="P1012" s="9" t="str">
        <x:v>普通男女装</x:v>
      </x:c>
      <x:c r="Q1012" s="9" t="str">
        <x:v>W_SKIRTS_AVGPAID_1500_1600_ANNUAL2026.xlsx</x:v>
      </x:c>
      <x:c r="R1012" s="9" t="str">
        <x:v>默认</x:v>
      </x:c>
      <x:c r="S1012" s="9" t="n">
        <x:v>201</x:v>
      </x:c>
      <x:c r="T1012" s="9" t="str">
        <x:v>deede8b56943df4f914be45dba170f12e69064023d6ef0e88dbde1764f6ba23e</x:v>
      </x:c>
      <x:c r="U1012" s="9" t="str">
        <x:v>W_SKIRTS_AVGPAID_1500_1600_ANNUAL2026</x:v>
      </x:c>
      <x:c r="V1012" s="9" t="str">
        <x:v>W_SKIRTS_AVGPAID_1500_1600_ANNUAL2026.xlsx / 默认 / 第201行 / SHA256 deede8b56943df4f914be45dba170f12e69064023d6ef0e88dbde1764f6ba23e</x:v>
      </x:c>
    </x:row>
    <x:row r="1013" ht="58" customHeight="1">
      <x:c r="A1013" s="23" t="str">
        <x:v>676134075691</x:v>
      </x:c>
      <x:c r="B1013" s="22"/>
      <x:c r="C1013" s="22"/>
      <x:c r="D1013" s="22"/>
      <x:c r="E1013" s="9" t="str">
        <x:v>裙长未明确</x:v>
      </x:c>
      <x:c r="F1013" s="9" t="str">
        <x:v>裙装</x:v>
      </x:c>
      <x:c r="G1013" s="9" t="str">
        <x:v>半身裙</x:v>
      </x:c>
      <x:c r="H1013" s="9" t="str">
        <x:v>女</x:v>
      </x:c>
      <x:c r="I1013" s="9" t="str">
        <x:v>器象和实原创女装植物拓染野生柞蚕丝褶皱半身裙小众不对称百褶裙</x:v>
      </x:c>
      <x:c r="J1013" s="9" t="str">
        <x:v>未提供品牌</x:v>
      </x:c>
      <x:c r="K1013" s="24" t="n">
        <x:v>1702.3</x:v>
      </x:c>
      <x:c r="L1013" s="25" t="e">
        <x:f>HYPERLINK("https://item.taobao.com/item.htm?id=676134075691","打开商品")</x:f>
        <x:v>HYPERLINK is not implemented. linkLocation=https://item.taobao.com/item.htm?id=676134075691, friendlyName=打开商品</x:v>
      </x:c>
      <x:c r="M1013" s="25" t="e">
        <x:f>HYPERLINK("https://data.zhiyitech.cn/itemDetail/overview/base?itemId=676134075691","打开知衣")</x:f>
        <x:v>HYPERLINK is not implemented. linkLocation=https://data.zhiyitech.cn/itemDetail/overview/base?itemId=676134075691, friendlyName=打开知衣</x:v>
      </x:c>
      <x:c r="N1013" s="25" t="e">
        <x:f>HYPERLINK("https://img.alicdn.com/bao/uploaded/i1/2495473350/O1CN01nCn18D1acLZwiJRyy_!!2495473350.jpg","查看主图")</x:f>
        <x:v>HYPERLINK is not implemented. linkLocation=https://img.alicdn.com/bao/uploaded/i1/2495473350/O1CN01nCn18D1acLZwiJRyy_!!2495473350.jpg, friendlyName=查看主图</x:v>
      </x:c>
      <x:c r="O1013" s="9" t="str">
        <x:v>标题及既有类目语义复核；器象和实原创女装植物拓染野生柞蚕丝褶皱半身裙小众不对称百褶裙；原类目及标题已能确认半身裙；展示使用已知大类，未知裙长下沉到结构字段，不强猜长短。</x:v>
      </x:c>
      <x:c r="P1013" s="9" t="str">
        <x:v>普通男女装</x:v>
      </x:c>
      <x:c r="Q1013" s="9" t="str">
        <x:v>W_SKIRTS_AVGPAID_1700_1800_ANNUAL2026.xlsx</x:v>
      </x:c>
      <x:c r="R1013" s="9" t="str">
        <x:v>默认</x:v>
      </x:c>
      <x:c r="S1013" s="9" t="n">
        <x:v>61</x:v>
      </x:c>
      <x:c r="T1013" s="9" t="str">
        <x:v>c25ed77c53c7c5cfcf728778a0e9b297d8689503f62756a939cbd534ca9b587a</x:v>
      </x:c>
      <x:c r="U1013" s="9" t="str">
        <x:v>W_SKIRTS_AVGPAID_1700_1800_ANNUAL2026</x:v>
      </x:c>
      <x:c r="V1013" s="9" t="str">
        <x:v>W_SKIRTS_AVGPAID_1700_1800_ANNUAL2026.xlsx / 默认 / 第61行 / SHA256 c25ed77c53c7c5cfcf728778a0e9b297d8689503f62756a939cbd534ca9b587a</x:v>
      </x:c>
    </x:row>
    <x:row r="1014" ht="58" customHeight="1">
      <x:c r="A1014" s="23" t="str">
        <x:v>690316246568</x:v>
      </x:c>
      <x:c r="B1014" s="22"/>
      <x:c r="C1014" s="22"/>
      <x:c r="D1014" s="22"/>
      <x:c r="E1014" s="9" t="str">
        <x:v>裙长未明确</x:v>
      </x:c>
      <x:c r="F1014" s="9" t="str">
        <x:v>裙装</x:v>
      </x:c>
      <x:c r="G1014" s="9" t="str">
        <x:v>半身裙</x:v>
      </x:c>
      <x:c r="H1014" s="9" t="str">
        <x:v>女</x:v>
      </x:c>
      <x:c r="I1014" s="9" t="str">
        <x:v>限时惠|器象和实植物染重工羊毛A字半身裙小众褶皱大摆裙针织裙女</x:v>
      </x:c>
      <x:c r="J1014" s="9" t="str">
        <x:v>未提供品牌</x:v>
      </x:c>
      <x:c r="K1014" s="24" t="n">
        <x:v>1706.03</x:v>
      </x:c>
      <x:c r="L1014" s="25" t="e">
        <x:f>HYPERLINK("https://item.taobao.com/item.htm?id=690316246568","打开商品")</x:f>
        <x:v>HYPERLINK is not implemented. linkLocation=https://item.taobao.com/item.htm?id=690316246568, friendlyName=打开商品</x:v>
      </x:c>
      <x:c r="M1014" s="25" t="e">
        <x:f>HYPERLINK("https://data.zhiyitech.cn/itemDetail/overview/base?itemId=690316246568","打开知衣")</x:f>
        <x:v>HYPERLINK is not implemented. linkLocation=https://data.zhiyitech.cn/itemDetail/overview/base?itemId=690316246568, friendlyName=打开知衣</x:v>
      </x:c>
      <x:c r="N1014" s="25" t="e">
        <x:f>HYPERLINK("https://img.alicdn.com/i4/2495473350/O1CN01FkEF5n1acLhGtTgas_!!2495473350.jpg","查看主图")</x:f>
        <x:v>HYPERLINK is not implemented. linkLocation=https://img.alicdn.com/i4/2495473350/O1CN01FkEF5n1acLhGtTgas_!!2495473350.jpg, friendlyName=查看主图</x:v>
      </x:c>
      <x:c r="O1014" s="9" t="str">
        <x:v>标题及既有类目语义复核；限时惠|器象和实植物染重工羊毛A字半身裙小众褶皱大摆裙针织裙女；原类目及标题已能确认半身裙；展示使用已知大类，未知裙长下沉到结构字段，不强猜长短。</x:v>
      </x:c>
      <x:c r="P1014" s="9" t="str">
        <x:v>普通男女装</x:v>
      </x:c>
      <x:c r="Q1014" s="9" t="str">
        <x:v>W_SKIRTS_AVGPAID_1700_1800_ANNUAL2026.xlsx</x:v>
      </x:c>
      <x:c r="R1014" s="9" t="str">
        <x:v>默认</x:v>
      </x:c>
      <x:c r="S1014" s="9" t="n">
        <x:v>474</x:v>
      </x:c>
      <x:c r="T1014" s="9" t="str">
        <x:v>c25ed77c53c7c5cfcf728778a0e9b297d8689503f62756a939cbd534ca9b587a</x:v>
      </x:c>
      <x:c r="U1014" s="9" t="str">
        <x:v>W_SKIRTS_AVGPAID_1700_1800_ANNUAL2026</x:v>
      </x:c>
      <x:c r="V1014" s="9" t="str">
        <x:v>W_SKIRTS_AVGPAID_1700_1800_ANNUAL2026.xlsx / 默认 / 第474行 / SHA256 c25ed77c53c7c5cfcf728778a0e9b297d8689503f62756a939cbd534ca9b587a</x:v>
      </x:c>
    </x:row>
    <x:row r="1015" ht="58" customHeight="1">
      <x:c r="A1015" s="23" t="str">
        <x:v>723137440091</x:v>
      </x:c>
      <x:c r="B1015" s="22"/>
      <x:c r="C1015" s="22"/>
      <x:c r="D1015" s="22"/>
      <x:c r="E1015" s="9" t="str">
        <x:v>裙长未明确</x:v>
      </x:c>
      <x:c r="F1015" s="9" t="str">
        <x:v>裙装</x:v>
      </x:c>
      <x:c r="G1015" s="9" t="str">
        <x:v>半身裙</x:v>
      </x:c>
      <x:c r="H1015" s="9" t="str">
        <x:v>女</x:v>
      </x:c>
      <x:c r="I1015" s="9" t="str">
        <x:v>【经典款】MING MA 黑色/灰色 羊毛百褶短半裙</x:v>
      </x:c>
      <x:c r="J1015" s="9" t="str">
        <x:v>未提供品牌</x:v>
      </x:c>
      <x:c r="K1015" s="24" t="n">
        <x:v>1785.61</x:v>
      </x:c>
      <x:c r="L1015" s="25" t="e">
        <x:f>HYPERLINK("https://item.taobao.com/item.htm?id=723137440091","打开商品")</x:f>
        <x:v>HYPERLINK is not implemented. linkLocation=https://item.taobao.com/item.htm?id=723137440091, friendlyName=打开商品</x:v>
      </x:c>
      <x:c r="M1015" s="25" t="e">
        <x:f>HYPERLINK("https://data.zhiyitech.cn/itemDetail/overview/base?itemId=723137440091","打开知衣")</x:f>
        <x:v>HYPERLINK is not implemented. linkLocation=https://data.zhiyitech.cn/itemDetail/overview/base?itemId=723137440091, friendlyName=打开知衣</x:v>
      </x:c>
      <x:c r="N1015" s="25" t="e">
        <x:f>HYPERLINK("https://img.alicdn.com/i2/2208554958677/O1CN01oJSuIq2Dy7m2R1VZ8_!!4611686018427387733-0-item_pic.jpg","查看主图")</x:f>
        <x:v>HYPERLINK is not implemented. linkLocation=https://img.alicdn.com/i2/2208554958677/O1CN01oJSuIq2Dy7m2R1VZ8_!!4611686018427387733-0-item_pic.jpg, friendlyName=查看主图</x:v>
      </x:c>
      <x:c r="O1015" s="9" t="str">
        <x:v>标题及既有类目语义复核；【经典款】MING MA 黑色/灰色 羊毛百褶短半裙；原类目及标题已能确认半身裙；展示使用已知大类，未知裙长下沉到结构字段，不强猜长短。</x:v>
      </x:c>
      <x:c r="P1015" s="9" t="str">
        <x:v>普通男女装</x:v>
      </x:c>
      <x:c r="Q1015" s="9" t="str">
        <x:v>W_SKIRTS_AVGPAID_1700_1800_ANNUAL2026.xlsx</x:v>
      </x:c>
      <x:c r="R1015" s="9" t="str">
        <x:v>默认</x:v>
      </x:c>
      <x:c r="S1015" s="9" t="n">
        <x:v>405</x:v>
      </x:c>
      <x:c r="T1015" s="9" t="str">
        <x:v>c25ed77c53c7c5cfcf728778a0e9b297d8689503f62756a939cbd534ca9b587a</x:v>
      </x:c>
      <x:c r="U1015" s="9" t="str">
        <x:v>W_SKIRTS_AVGPAID_1700_1800_ANNUAL2026</x:v>
      </x:c>
      <x:c r="V1015" s="9" t="str">
        <x:v>W_SKIRTS_AVGPAID_1700_1800_ANNUAL2026.xlsx / 默认 / 第405行 / SHA256 c25ed77c53c7c5cfcf728778a0e9b297d8689503f62756a939cbd534ca9b587a</x:v>
      </x:c>
    </x:row>
    <x:row r="1016" ht="58" customHeight="1">
      <x:c r="A1016" s="23" t="str">
        <x:v>730719503590</x:v>
      </x:c>
      <x:c r="B1016" s="22"/>
      <x:c r="C1016" s="22"/>
      <x:c r="D1016" s="22"/>
      <x:c r="E1016" s="9" t="str">
        <x:v>裙长未明确</x:v>
      </x:c>
      <x:c r="F1016" s="9" t="str">
        <x:v>裙装</x:v>
      </x:c>
      <x:c r="G1016" s="9" t="str">
        <x:v>半身裙</x:v>
      </x:c>
      <x:c r="H1016" s="9" t="str">
        <x:v>女</x:v>
      </x:c>
      <x:c r="I1016" s="9" t="str">
        <x:v>BACKATONE“飘逸佩斯利”不规则裙摆灵动印花半身裙22AW-M120</x:v>
      </x:c>
      <x:c r="J1016" s="9" t="str">
        <x:v>未提供品牌</x:v>
      </x:c>
      <x:c r="K1016" s="24" t="n">
        <x:v>1580.63</x:v>
      </x:c>
      <x:c r="L1016" s="25" t="e">
        <x:f>HYPERLINK("https://item.taobao.com/item.htm?id=730719503590","打开商品")</x:f>
        <x:v>HYPERLINK is not implemented. linkLocation=https://item.taobao.com/item.htm?id=730719503590, friendlyName=打开商品</x:v>
      </x:c>
      <x:c r="M1016" s="25" t="e">
        <x:f>HYPERLINK("https://data.zhiyitech.cn/itemDetail/overview/base?itemId=730719503590","打开知衣")</x:f>
        <x:v>HYPERLINK is not implemented. linkLocation=https://data.zhiyitech.cn/itemDetail/overview/base?itemId=730719503590, friendlyName=打开知衣</x:v>
      </x:c>
      <x:c r="N1016" s="25" t="e">
        <x:f>HYPERLINK("https://img.alicdn.com/bao/uploaded/i4/704507747/O1CN01Hh76DT276BBPoRZt2_!!704507747.jpg","查看主图")</x:f>
        <x:v>HYPERLINK is not implemented. linkLocation=https://img.alicdn.com/bao/uploaded/i4/704507747/O1CN01Hh76DT276BBPoRZt2_!!704507747.jpg, friendlyName=查看主图</x:v>
      </x:c>
      <x:c r="O1016" s="9" t="str">
        <x:v>标题及既有类目语义复核；BACKATONE“飘逸佩斯利”不规则裙摆灵动印花半身裙22AW-M120；原类目及标题已能确认半身裙；展示使用已知大类，未知裙长下沉到结构字段，不强猜长短。</x:v>
      </x:c>
      <x:c r="P1016" s="9" t="str">
        <x:v>普通男女装</x:v>
      </x:c>
      <x:c r="Q1016" s="9" t="str">
        <x:v>W_SKIRTS_AVGPAID_1500_1600_ANNUAL2026.xlsx</x:v>
      </x:c>
      <x:c r="R1016" s="9" t="str">
        <x:v>默认</x:v>
      </x:c>
      <x:c r="S1016" s="9" t="n">
        <x:v>368</x:v>
      </x:c>
      <x:c r="T1016" s="9" t="str">
        <x:v>deede8b56943df4f914be45dba170f12e69064023d6ef0e88dbde1764f6ba23e</x:v>
      </x:c>
      <x:c r="U1016" s="9" t="str">
        <x:v>W_SKIRTS_AVGPAID_1500_1600_ANNUAL2026</x:v>
      </x:c>
      <x:c r="V1016" s="9" t="str">
        <x:v>W_SKIRTS_AVGPAID_1500_1600_ANNUAL2026.xlsx / 默认 / 第368行 / SHA256 deede8b56943df4f914be45dba170f12e69064023d6ef0e88dbde1764f6ba23e</x:v>
      </x:c>
    </x:row>
    <x:row r="1017" ht="58" customHeight="1">
      <x:c r="A1017" s="23" t="str">
        <x:v>737548027574</x:v>
      </x:c>
      <x:c r="B1017" s="22"/>
      <x:c r="C1017" s="22"/>
      <x:c r="D1017" s="22"/>
      <x:c r="E1017" s="9" t="str">
        <x:v>裙长未明确</x:v>
      </x:c>
      <x:c r="F1017" s="9" t="str">
        <x:v>裙装</x:v>
      </x:c>
      <x:c r="G1017" s="9" t="str">
        <x:v>半身裙</x:v>
      </x:c>
      <x:c r="H1017" s="9" t="str">
        <x:v>女</x:v>
      </x:c>
      <x:c r="I1017" s="9" t="str">
        <x:v>Daily Romance "时髦天花板"软糯弹力小羊皮无腰头曲线包臀裙</x:v>
      </x:c>
      <x:c r="J1017" s="9" t="str">
        <x:v>未提供品牌</x:v>
      </x:c>
      <x:c r="K1017" s="24" t="n">
        <x:v>1595.21</x:v>
      </x:c>
      <x:c r="L1017" s="25" t="e">
        <x:f>HYPERLINK("https://item.taobao.com/item.htm?id=737548027574","打开商品")</x:f>
        <x:v>HYPERLINK is not implemented. linkLocation=https://item.taobao.com/item.htm?id=737548027574, friendlyName=打开商品</x:v>
      </x:c>
      <x:c r="M1017" s="25" t="e">
        <x:f>HYPERLINK("https://data.zhiyitech.cn/itemDetail/overview/base?itemId=737548027574","打开知衣")</x:f>
        <x:v>HYPERLINK is not implemented. linkLocation=https://data.zhiyitech.cn/itemDetail/overview/base?itemId=737548027574, friendlyName=打开知衣</x:v>
      </x:c>
      <x:c r="N1017" s="25" t="e">
        <x:f>HYPERLINK("https://img.alicdn.com/bao/uploaded/i3/2676753210/O1CN01KQyvIQ1ZaEUFvRLaJ_!!2676753210.jpg","查看主图")</x:f>
        <x:v>HYPERLINK is not implemented. linkLocation=https://img.alicdn.com/bao/uploaded/i3/2676753210/O1CN01KQyvIQ1ZaEUFvRLaJ_!!2676753210.jpg, friendlyName=查看主图</x:v>
      </x:c>
      <x:c r="O1017" s="9" t="str">
        <x:v>标题及既有类目语义复核；Daily Romance "时髦天花板"软糯弹力小羊皮无腰头曲线包臀裙；原类目及标题已能确认半身裙；展示使用已知大类，未知裙长下沉到结构字段，不强猜长短。</x:v>
      </x:c>
      <x:c r="P1017" s="9" t="str">
        <x:v>普通男女装</x:v>
      </x:c>
      <x:c r="Q1017" s="9" t="str">
        <x:v>W_SKIRTS_AVGPAID_1500_1600_ANNUAL2026.xlsx</x:v>
      </x:c>
      <x:c r="R1017" s="9" t="str">
        <x:v>默认</x:v>
      </x:c>
      <x:c r="S1017" s="9" t="n">
        <x:v>9</x:v>
      </x:c>
      <x:c r="T1017" s="9" t="str">
        <x:v>deede8b56943df4f914be45dba170f12e69064023d6ef0e88dbde1764f6ba23e</x:v>
      </x:c>
      <x:c r="U1017" s="9" t="str">
        <x:v>W_SKIRTS_AVGPAID_1500_1600_ANNUAL2026</x:v>
      </x:c>
      <x:c r="V1017" s="9" t="str">
        <x:v>W_SKIRTS_AVGPAID_1500_1600_ANNUAL2026.xlsx / 默认 / 第9行 / SHA256 deede8b56943df4f914be45dba170f12e69064023d6ef0e88dbde1764f6ba23e</x:v>
      </x:c>
    </x:row>
    <x:row r="1018" ht="58" customHeight="1">
      <x:c r="A1018" s="23" t="str">
        <x:v>742120637238</x:v>
      </x:c>
      <x:c r="B1018" s="22"/>
      <x:c r="C1018" s="22"/>
      <x:c r="D1018" s="22"/>
      <x:c r="E1018" s="9" t="str">
        <x:v>裙长未明确</x:v>
      </x:c>
      <x:c r="F1018" s="9" t="str">
        <x:v>裙装</x:v>
      </x:c>
      <x:c r="G1018" s="9" t="str">
        <x:v>半身裙</x:v>
      </x:c>
      <x:c r="H1018" s="9" t="str">
        <x:v>女</x:v>
      </x:c>
      <x:c r="I1018" s="9" t="str">
        <x:v>Daily Romance 土耳其进口优雅显瘦凸显身材弹力鱼尾下摆皮半裙</x:v>
      </x:c>
      <x:c r="J1018" s="9" t="str">
        <x:v>未提供品牌</x:v>
      </x:c>
      <x:c r="K1018" s="24" t="n">
        <x:v>1725.89</x:v>
      </x:c>
      <x:c r="L1018" s="25" t="e">
        <x:f>HYPERLINK("https://item.taobao.com/item.htm?id=742120637238","打开商品")</x:f>
        <x:v>HYPERLINK is not implemented. linkLocation=https://item.taobao.com/item.htm?id=742120637238, friendlyName=打开商品</x:v>
      </x:c>
      <x:c r="M1018" s="25" t="e">
        <x:f>HYPERLINK("https://data.zhiyitech.cn/itemDetail/overview/base?itemId=742120637238","打开知衣")</x:f>
        <x:v>HYPERLINK is not implemented. linkLocation=https://data.zhiyitech.cn/itemDetail/overview/base?itemId=742120637238, friendlyName=打开知衣</x:v>
      </x:c>
      <x:c r="N1018" s="25" t="e">
        <x:f>HYPERLINK("https://img.alicdn.com/i4/2676753210/O1CN01GM0jZF1ZaEFyRS5rU_!!2676753210.jpg","查看主图")</x:f>
        <x:v>HYPERLINK is not implemented. linkLocation=https://img.alicdn.com/i4/2676753210/O1CN01GM0jZF1ZaEFyRS5rU_!!2676753210.jpg, friendlyName=查看主图</x:v>
      </x:c>
      <x:c r="O1018" s="9" t="str">
        <x:v>标题及既有类目语义复核；Daily Romance 土耳其进口优雅显瘦凸显身材弹力鱼尾下摆皮半裙；原类目及标题已能确认半身裙；展示使用已知大类，未知裙长下沉到结构字段，不强猜长短。</x:v>
      </x:c>
      <x:c r="P1018" s="9" t="str">
        <x:v>普通男女装</x:v>
      </x:c>
      <x:c r="Q1018" s="9" t="str">
        <x:v>W_SKIRTS_AVGPAID_1700_1800_ANNUAL2026.xlsx</x:v>
      </x:c>
      <x:c r="R1018" s="9" t="str">
        <x:v>默认</x:v>
      </x:c>
      <x:c r="S1018" s="9" t="n">
        <x:v>339</x:v>
      </x:c>
      <x:c r="T1018" s="9" t="str">
        <x:v>c25ed77c53c7c5cfcf728778a0e9b297d8689503f62756a939cbd534ca9b587a</x:v>
      </x:c>
      <x:c r="U1018" s="9" t="str">
        <x:v>W_SKIRTS_AVGPAID_1700_1800_ANNUAL2026</x:v>
      </x:c>
      <x:c r="V1018" s="9" t="str">
        <x:v>W_SKIRTS_AVGPAID_1700_1800_ANNUAL2026.xlsx / 默认 / 第339行 / SHA256 c25ed77c53c7c5cfcf728778a0e9b297d8689503f62756a939cbd534ca9b587a</x:v>
      </x:c>
    </x:row>
    <x:row r="1019" ht="58" customHeight="1">
      <x:c r="A1019" s="23" t="str">
        <x:v>743636160822</x:v>
      </x:c>
      <x:c r="B1019" s="22"/>
      <x:c r="C1019" s="22"/>
      <x:c r="D1019" s="22"/>
      <x:c r="E1019" s="9" t="str">
        <x:v>裙长未明确</x:v>
      </x:c>
      <x:c r="F1019" s="9" t="str">
        <x:v>裙装</x:v>
      </x:c>
      <x:c r="G1019" s="9" t="str">
        <x:v>半身裙</x:v>
      </x:c>
      <x:c r="H1019" s="9" t="str">
        <x:v>女</x:v>
      </x:c>
      <x:c r="I1019" s="9" t="str">
        <x:v>Say Ya【幻】压褶碎玉针花苞羊绒半身裙 垂坠/显瘦</x:v>
      </x:c>
      <x:c r="J1019" s="9" t="str">
        <x:v>未提供品牌</x:v>
      </x:c>
      <x:c r="K1019" s="24" t="n">
        <x:v>1793.22</x:v>
      </x:c>
      <x:c r="L1019" s="25" t="e">
        <x:f>HYPERLINK("https://item.taobao.com/item.htm?id=743636160822","打开商品")</x:f>
        <x:v>HYPERLINK is not implemented. linkLocation=https://item.taobao.com/item.htm?id=743636160822, friendlyName=打开商品</x:v>
      </x:c>
      <x:c r="M1019" s="25" t="e">
        <x:f>HYPERLINK("https://data.zhiyitech.cn/itemDetail/overview/base?itemId=743636160822","打开知衣")</x:f>
        <x:v>HYPERLINK is not implemented. linkLocation=https://data.zhiyitech.cn/itemDetail/overview/base?itemId=743636160822, friendlyName=打开知衣</x:v>
      </x:c>
      <x:c r="N1019" s="25" t="e">
        <x:f>HYPERLINK("https://img.alicdn.com/i3/109573825/O1CN01oAPuyX1e7u4ZBS7aE_!!4611686018427385537-0-item_pic.jpg","查看主图")</x:f>
        <x:v>HYPERLINK is not implemented. linkLocation=https://img.alicdn.com/i3/109573825/O1CN01oAPuyX1e7u4ZBS7aE_!!4611686018427385537-0-item_pic.jpg, friendlyName=查看主图</x:v>
      </x:c>
      <x:c r="O1019" s="9" t="str">
        <x:v>标题及既有类目语义复核；Say Ya【幻】压褶碎玉针花苞羊绒半身裙 垂坠/显瘦；原类目及标题已能确认半身裙；展示使用已知大类，未知裙长下沉到结构字段，不强猜长短。</x:v>
      </x:c>
      <x:c r="P1019" s="9" t="str">
        <x:v>普通男女装</x:v>
      </x:c>
      <x:c r="Q1019" s="9" t="str">
        <x:v>W_SKIRTS_AVGPAID_1700_1800_ANNUAL2026.xlsx</x:v>
      </x:c>
      <x:c r="R1019" s="9" t="str">
        <x:v>默认</x:v>
      </x:c>
      <x:c r="S1019" s="9" t="n">
        <x:v>275</x:v>
      </x:c>
      <x:c r="T1019" s="9" t="str">
        <x:v>c25ed77c53c7c5cfcf728778a0e9b297d8689503f62756a939cbd534ca9b587a</x:v>
      </x:c>
      <x:c r="U1019" s="9" t="str">
        <x:v>W_SKIRTS_AVGPAID_1700_1800_ANNUAL2026</x:v>
      </x:c>
      <x:c r="V1019" s="9" t="str">
        <x:v>W_SKIRTS_AVGPAID_1700_1800_ANNUAL2026.xlsx / 默认 / 第275行 / SHA256 c25ed77c53c7c5cfcf728778a0e9b297d8689503f62756a939cbd534ca9b587a</x:v>
      </x:c>
    </x:row>
    <x:row r="1020" ht="58" customHeight="1">
      <x:c r="A1020" s="23" t="str">
        <x:v>770936622484</x:v>
      </x:c>
      <x:c r="B1020" s="22"/>
      <x:c r="C1020" s="22"/>
      <x:c r="D1020" s="22"/>
      <x:c r="E1020" s="9" t="str">
        <x:v>裙长未明确</x:v>
      </x:c>
      <x:c r="F1020" s="9" t="str">
        <x:v>裙装</x:v>
      </x:c>
      <x:c r="G1020" s="9" t="str">
        <x:v>半身裙</x:v>
      </x:c>
      <x:c r="H1020" s="9" t="str">
        <x:v>女</x:v>
      </x:c>
      <x:c r="I1020" s="9" t="str">
        <x:v>器象和实女装植物染柞蚕丝褶皱半身裙小众A字真丝大摆百褶裙</x:v>
      </x:c>
      <x:c r="J1020" s="9" t="str">
        <x:v>未提供品牌</x:v>
      </x:c>
      <x:c r="K1020" s="24" t="n">
        <x:v>1358.67</x:v>
      </x:c>
      <x:c r="L1020" s="25" t="e">
        <x:f>HYPERLINK("https://item.taobao.com/item.htm?id=770936622484","打开商品")</x:f>
        <x:v>HYPERLINK is not implemented. linkLocation=https://item.taobao.com/item.htm?id=770936622484, friendlyName=打开商品</x:v>
      </x:c>
      <x:c r="M1020" s="25" t="e">
        <x:f>HYPERLINK("https://data.zhiyitech.cn/itemDetail/overview/base?itemId=770936622484","打开知衣")</x:f>
        <x:v>HYPERLINK is not implemented. linkLocation=https://data.zhiyitech.cn/itemDetail/overview/base?itemId=770936622484, friendlyName=打开知衣</x:v>
      </x:c>
      <x:c r="N1020" s="25" t="e">
        <x:f>HYPERLINK("https://img.alicdn.com/bao/uploaded/i2/2495473350/O1CN01fUAbi0ej1zI3thOC_!!2495473350.jpg","查看主图")</x:f>
        <x:v>HYPERLINK is not implemented. linkLocation=https://img.alicdn.com/bao/uploaded/i2/2495473350/O1CN01fUAbi0ej1zI3thOC_!!2495473350.jpg, friendlyName=查看主图</x:v>
      </x:c>
      <x:c r="O1020" s="9" t="str">
        <x:v>标题及既有类目语义复核；器象和实女装植物染柞蚕丝褶皱半身裙小众A字真丝大摆百褶裙；原类目及标题已能确认半身裙；展示使用已知大类，未知裙长下沉到结构字段，不强猜长短。</x:v>
      </x:c>
      <x:c r="P1020" s="9" t="str">
        <x:v>普通男女装</x:v>
      </x:c>
      <x:c r="Q1020" s="9" t="str">
        <x:v>W_SKIRTS_AVGPAID_1300_1400_ANNUAL2026.xlsx</x:v>
      </x:c>
      <x:c r="R1020" s="9" t="str">
        <x:v>默认</x:v>
      </x:c>
      <x:c r="S1020" s="9" t="n">
        <x:v>93</x:v>
      </x:c>
      <x:c r="T1020" s="9" t="str">
        <x:v>bd4dae1e08e9eca7ddd0669235bf59107cdc418b9c2898fc16f36a7ab5748692</x:v>
      </x:c>
      <x:c r="U1020" s="9" t="str">
        <x:v>W_SKIRTS_AVGPAID_1300_1400_ANNUAL2026</x:v>
      </x:c>
      <x:c r="V1020" s="9" t="str">
        <x:v>W_SKIRTS_AVGPAID_1300_1400_ANNUAL2026.xlsx / 默认 / 第93行 / SHA256 bd4dae1e08e9eca7ddd0669235bf59107cdc418b9c2898fc16f36a7ab5748692</x:v>
      </x:c>
    </x:row>
    <x:row r="1021" ht="58" customHeight="1">
      <x:c r="A1021" s="23" t="str">
        <x:v>771693802301</x:v>
      </x:c>
      <x:c r="B1021" s="22"/>
      <x:c r="C1021" s="22"/>
      <x:c r="D1021" s="22"/>
      <x:c r="E1021" s="9" t="str">
        <x:v>裙长未明确</x:v>
      </x:c>
      <x:c r="F1021" s="9" t="str">
        <x:v>裙装</x:v>
      </x:c>
      <x:c r="G1021" s="9" t="str">
        <x:v>半身裙</x:v>
      </x:c>
      <x:c r="H1021" s="9" t="str">
        <x:v>女</x:v>
      </x:c>
      <x:c r="I1021" s="9" t="str">
        <x:v>牧衣游原创 手绣龟裂纹香云纱半裙轻盈爽滑复古国风马面裙 不落</x:v>
      </x:c>
      <x:c r="J1021" s="9" t="str">
        <x:v>未提供品牌</x:v>
      </x:c>
      <x:c r="K1021" s="24" t="n">
        <x:v>1311.71</x:v>
      </x:c>
      <x:c r="L1021" s="25" t="e">
        <x:f>HYPERLINK("https://item.taobao.com/item.htm?id=771693802301","打开商品")</x:f>
        <x:v>HYPERLINK is not implemented. linkLocation=https://item.taobao.com/item.htm?id=771693802301, friendlyName=打开商品</x:v>
      </x:c>
      <x:c r="M1021" s="25" t="e">
        <x:f>HYPERLINK("https://data.zhiyitech.cn/itemDetail/overview/base?itemId=771693802301","打开知衣")</x:f>
        <x:v>HYPERLINK is not implemented. linkLocation=https://data.zhiyitech.cn/itemDetail/overview/base?itemId=771693802301, friendlyName=打开知衣</x:v>
      </x:c>
      <x:c r="N1021" s="25" t="e">
        <x:f>HYPERLINK("https://img.alicdn.com/bao/uploaded/i4/358173489/O1CN013wAwKT1be0o04DGf8_!!358173489.jpg","查看主图")</x:f>
        <x:v>HYPERLINK is not implemented. linkLocation=https://img.alicdn.com/bao/uploaded/i4/358173489/O1CN013wAwKT1be0o04DGf8_!!358173489.jpg, friendlyName=查看主图</x:v>
      </x:c>
      <x:c r="O1021" s="9" t="str">
        <x:v>标题及既有类目语义复核；牧衣游原创 手绣龟裂纹香云纱半裙轻盈爽滑复古国风马面裙 不落；原类目及标题已能确认半身裙；展示使用已知大类，未知裙长下沉到结构字段，不强猜长短。</x:v>
      </x:c>
      <x:c r="P1021" s="9" t="str">
        <x:v>普通男女装</x:v>
      </x:c>
      <x:c r="Q1021" s="9" t="str">
        <x:v>W_SKIRTS_AVGPAID_1300_1400_ANNUAL2026.xlsx</x:v>
      </x:c>
      <x:c r="R1021" s="9" t="str">
        <x:v>默认</x:v>
      </x:c>
      <x:c r="S1021" s="9" t="n">
        <x:v>384</x:v>
      </x:c>
      <x:c r="T1021" s="9" t="str">
        <x:v>bd4dae1e08e9eca7ddd0669235bf59107cdc418b9c2898fc16f36a7ab5748692</x:v>
      </x:c>
      <x:c r="U1021" s="9" t="str">
        <x:v>W_SKIRTS_AVGPAID_1300_1400_ANNUAL2026</x:v>
      </x:c>
      <x:c r="V1021" s="9" t="str">
        <x:v>W_SKIRTS_AVGPAID_1300_1400_ANNUAL2026.xlsx / 默认 / 第384行 / SHA256 bd4dae1e08e9eca7ddd0669235bf59107cdc418b9c2898fc16f36a7ab5748692</x:v>
      </x:c>
    </x:row>
    <x:row r="1022" ht="58" customHeight="1">
      <x:c r="A1022" s="23" t="str">
        <x:v>786238617593</x:v>
      </x:c>
      <x:c r="B1022" s="22"/>
      <x:c r="C1022" s="22"/>
      <x:c r="D1022" s="22"/>
      <x:c r="E1022" s="9" t="str">
        <x:v>裙长未明确</x:v>
      </x:c>
      <x:c r="F1022" s="9" t="str">
        <x:v>裙装</x:v>
      </x:c>
      <x:c r="G1022" s="9" t="str">
        <x:v>半身裙</x:v>
      </x:c>
      <x:c r="H1022" s="9" t="str">
        <x:v>女</x:v>
      </x:c>
      <x:c r="I1022" s="9" t="str">
        <x:v>器象和实原创女装100%桑蚕丝缎面砂洗褶皱半身裙纯色A字裙百褶裙</x:v>
      </x:c>
      <x:c r="J1022" s="9" t="str">
        <x:v>未提供品牌</x:v>
      </x:c>
      <x:c r="K1022" s="24" t="n">
        <x:v>1535.91</x:v>
      </x:c>
      <x:c r="L1022" s="25" t="e">
        <x:f>HYPERLINK("https://item.taobao.com/item.htm?id=786238617593","打开商品")</x:f>
        <x:v>HYPERLINK is not implemented. linkLocation=https://item.taobao.com/item.htm?id=786238617593, friendlyName=打开商品</x:v>
      </x:c>
      <x:c r="M1022" s="25" t="e">
        <x:f>HYPERLINK("https://data.zhiyitech.cn/itemDetail/overview/base?itemId=786238617593","打开知衣")</x:f>
        <x:v>HYPERLINK is not implemented. linkLocation=https://data.zhiyitech.cn/itemDetail/overview/base?itemId=786238617593, friendlyName=打开知衣</x:v>
      </x:c>
      <x:c r="N1022" s="25" t="e">
        <x:f>HYPERLINK("https://img.alicdn.com/bao/uploaded/i3/2495473350/O1CN01u5380R1acLln9VOij_!!2495473350.jpg","查看主图")</x:f>
        <x:v>HYPERLINK is not implemented. linkLocation=https://img.alicdn.com/bao/uploaded/i3/2495473350/O1CN01u5380R1acLln9VOij_!!2495473350.jpg, friendlyName=查看主图</x:v>
      </x:c>
      <x:c r="O1022" s="9" t="str">
        <x:v>标题及既有类目语义复核；器象和实原创女装100%桑蚕丝缎面砂洗褶皱半身裙纯色A字裙百褶裙；原类目及标题已能确认半身裙；展示使用已知大类，未知裙长下沉到结构字段，不强猜长短。</x:v>
      </x:c>
      <x:c r="P1022" s="9" t="str">
        <x:v>普通男女装</x:v>
      </x:c>
      <x:c r="Q1022" s="9" t="str">
        <x:v>W_SKIRTS_AVGPAID_1500_1600_ANNUAL2026.xlsx</x:v>
      </x:c>
      <x:c r="R1022" s="9" t="str">
        <x:v>默认</x:v>
      </x:c>
      <x:c r="S1022" s="9" t="n">
        <x:v>169</x:v>
      </x:c>
      <x:c r="T1022" s="9" t="str">
        <x:v>deede8b56943df4f914be45dba170f12e69064023d6ef0e88dbde1764f6ba23e</x:v>
      </x:c>
      <x:c r="U1022" s="9" t="str">
        <x:v>W_SKIRTS_AVGPAID_1500_1600_ANNUAL2026</x:v>
      </x:c>
      <x:c r="V1022" s="9" t="str">
        <x:v>W_SKIRTS_AVGPAID_1500_1600_ANNUAL2026.xlsx / 默认 / 第169行 / SHA256 deede8b56943df4f914be45dba170f12e69064023d6ef0e88dbde1764f6ba23e</x:v>
      </x:c>
    </x:row>
    <x:row r="1023" ht="58" customHeight="1">
      <x:c r="A1023" s="23" t="str">
        <x:v>877326391067</x:v>
      </x:c>
      <x:c r="B1023" s="22"/>
      <x:c r="C1023" s="22"/>
      <x:c r="D1023" s="22"/>
      <x:c r="E1023" s="9" t="str">
        <x:v>裙长未明确</x:v>
      </x:c>
      <x:c r="F1023" s="9" t="str">
        <x:v>裙装</x:v>
      </x:c>
      <x:c r="G1023" s="9" t="str">
        <x:v>半身裙</x:v>
      </x:c>
      <x:c r="H1023" s="9" t="str">
        <x:v>女</x:v>
      </x:c>
      <x:c r="I1023" s="9" t="str">
        <x:v>【年中特价】UNION 官方授权 INTO THE EAST 25春夏 印花拼接半裙</x:v>
      </x:c>
      <x:c r="J1023" s="9" t="str">
        <x:v>未提供品牌</x:v>
      </x:c>
      <x:c r="K1023" s="24" t="n">
        <x:v>1770.54</x:v>
      </x:c>
      <x:c r="L1023" s="25" t="e">
        <x:f>HYPERLINK("https://item.taobao.com/item.htm?id=877326391067","打开商品")</x:f>
        <x:v>HYPERLINK is not implemented. linkLocation=https://item.taobao.com/item.htm?id=877326391067, friendlyName=打开商品</x:v>
      </x:c>
      <x:c r="M1023" s="25" t="e">
        <x:f>HYPERLINK("https://data.zhiyitech.cn/itemDetail/overview/base?itemId=877326391067","打开知衣")</x:f>
        <x:v>HYPERLINK is not implemented. linkLocation=https://data.zhiyitech.cn/itemDetail/overview/base?itemId=877326391067, friendlyName=打开知衣</x:v>
      </x:c>
      <x:c r="N1023" s="25" t="e">
        <x:f>HYPERLINK("https://img.alicdn.com/i3/2207478008166/O1CN01oe1cFv2AC5IpDG4Lw_!!2207478008166.jpg","查看主图")</x:f>
        <x:v>HYPERLINK is not implemented. linkLocation=https://img.alicdn.com/i3/2207478008166/O1CN01oe1cFv2AC5IpDG4Lw_!!2207478008166.jpg, friendlyName=查看主图</x:v>
      </x:c>
      <x:c r="O1023" s="9" t="str">
        <x:v>标题及既有类目语义复核；【年中特价】UNION 官方授权 INTO THE EAST 25春夏 印花拼接半裙；原类目及标题已能确认半身裙；展示使用已知大类，未知裙长下沉到结构字段，不强猜长短。</x:v>
      </x:c>
      <x:c r="P1023" s="9" t="str">
        <x:v>普通男女装</x:v>
      </x:c>
      <x:c r="Q1023" s="9" t="str">
        <x:v>W_SKIRTS_AVGPAID_1700_1800_ANNUAL2026.xlsx</x:v>
      </x:c>
      <x:c r="R1023" s="9" t="str">
        <x:v>默认</x:v>
      </x:c>
      <x:c r="S1023" s="9" t="n">
        <x:v>162</x:v>
      </x:c>
      <x:c r="T1023" s="9" t="str">
        <x:v>c25ed77c53c7c5cfcf728778a0e9b297d8689503f62756a939cbd534ca9b587a</x:v>
      </x:c>
      <x:c r="U1023" s="9" t="str">
        <x:v>W_SKIRTS_AVGPAID_1700_1800_ANNUAL2026</x:v>
      </x:c>
      <x:c r="V1023" s="9" t="str">
        <x:v>W_SKIRTS_AVGPAID_1700_1800_ANNUAL2026.xlsx / 默认 / 第162行 / SHA256 c25ed77c53c7c5cfcf728778a0e9b297d8689503f62756a939cbd534ca9b587a</x:v>
      </x:c>
    </x:row>
    <x:row r="1024" ht="58" customHeight="1">
      <x:c r="A1024" s="23" t="str">
        <x:v>897125058787</x:v>
      </x:c>
      <x:c r="B1024" s="22"/>
      <x:c r="C1024" s="22"/>
      <x:c r="D1024" s="22"/>
      <x:c r="E1024" s="9" t="str">
        <x:v>裙长未明确</x:v>
      </x:c>
      <x:c r="F1024" s="9" t="str">
        <x:v>裙装</x:v>
      </x:c>
      <x:c r="G1024" s="9" t="str">
        <x:v>半身裙</x:v>
      </x:c>
      <x:c r="H1024" s="9" t="str">
        <x:v>女</x:v>
      </x:c>
      <x:c r="I1024" s="9" t="str">
        <x:v>Mutedance 蕾丝上衣 花边半裙 古典 植物染 高程度手工 棉 丝绸</x:v>
      </x:c>
      <x:c r="J1024" s="9" t="str">
        <x:v>未提供品牌</x:v>
      </x:c>
      <x:c r="K1024" s="24" t="n">
        <x:v>1734.11</x:v>
      </x:c>
      <x:c r="L1024" s="25" t="e">
        <x:f>HYPERLINK("https://item.taobao.com/item.htm?id=897125058787","打开商品")</x:f>
        <x:v>HYPERLINK is not implemented. linkLocation=https://item.taobao.com/item.htm?id=897125058787, friendlyName=打开商品</x:v>
      </x:c>
      <x:c r="M1024" s="25" t="e">
        <x:f>HYPERLINK("https://data.zhiyitech.cn/itemDetail/overview/base?itemId=897125058787","打开知衣")</x:f>
        <x:v>HYPERLINK is not implemented. linkLocation=https://data.zhiyitech.cn/itemDetail/overview/base?itemId=897125058787, friendlyName=打开知衣</x:v>
      </x:c>
      <x:c r="N1024" s="25" t="e">
        <x:f>HYPERLINK("https://img.alicdn.com/bao/uploaded/i3/143492895/O1CN01BOgFwy1XFxeOEH7qL_!!143492895.jpg","查看主图")</x:f>
        <x:v>HYPERLINK is not implemented. linkLocation=https://img.alicdn.com/bao/uploaded/i3/143492895/O1CN01BOgFwy1XFxeOEH7qL_!!143492895.jpg, friendlyName=查看主图</x:v>
      </x:c>
      <x:c r="O1024" s="9" t="str">
        <x:v>标题及既有类目语义复核；Mutedance 蕾丝上衣 花边半裙 古典 植物染 高程度手工 棉 丝绸；原类目及标题已能确认半身裙；展示使用已知大类，未知裙长下沉到结构字段，不强猜长短。</x:v>
      </x:c>
      <x:c r="P1024" s="9" t="str">
        <x:v>普通男女装</x:v>
      </x:c>
      <x:c r="Q1024" s="9" t="str">
        <x:v>W_SKIRTS_AVGPAID_1700_1800_ANNUAL2026.xlsx</x:v>
      </x:c>
      <x:c r="R1024" s="9" t="str">
        <x:v>默认</x:v>
      </x:c>
      <x:c r="S1024" s="9" t="n">
        <x:v>104</x:v>
      </x:c>
      <x:c r="T1024" s="9" t="str">
        <x:v>c25ed77c53c7c5cfcf728778a0e9b297d8689503f62756a939cbd534ca9b587a</x:v>
      </x:c>
      <x:c r="U1024" s="9" t="str">
        <x:v>W_SKIRTS_AVGPAID_1700_1800_ANNUAL2026</x:v>
      </x:c>
      <x:c r="V1024" s="9" t="str">
        <x:v>W_SKIRTS_AVGPAID_1700_1800_ANNUAL2026.xlsx / 默认 / 第104行 / SHA256 c25ed77c53c7c5cfcf728778a0e9b297d8689503f62756a939cbd534ca9b587a</x:v>
      </x:c>
    </x:row>
    <x:row r="1025" ht="58" customHeight="1">
      <x:c r="A1025" s="23" t="str">
        <x:v>930605597432</x:v>
      </x:c>
      <x:c r="B1025" s="22"/>
      <x:c r="C1025" s="22"/>
      <x:c r="D1025" s="22"/>
      <x:c r="E1025" s="9" t="str">
        <x:v>裙长未明确</x:v>
      </x:c>
      <x:c r="F1025" s="9" t="str">
        <x:v>裙装</x:v>
      </x:c>
      <x:c r="G1025" s="9" t="str">
        <x:v>半身裙</x:v>
      </x:c>
      <x:c r="H1025" s="9" t="str">
        <x:v>女</x:v>
      </x:c>
      <x:c r="I1025" s="9" t="str">
        <x:v>UNION 官方授权 INTO THE EAST 25春夏 真丝上衣+长半裙 倪妮同款</x:v>
      </x:c>
      <x:c r="J1025" s="9" t="str">
        <x:v>未提供品牌</x:v>
      </x:c>
      <x:c r="K1025" s="24" t="n">
        <x:v>1549.66</x:v>
      </x:c>
      <x:c r="L1025" s="25" t="e">
        <x:f>HYPERLINK("https://item.taobao.com/item.htm?id=930605597432","打开商品")</x:f>
        <x:v>HYPERLINK is not implemented. linkLocation=https://item.taobao.com/item.htm?id=930605597432, friendlyName=打开商品</x:v>
      </x:c>
      <x:c r="M1025" s="25" t="e">
        <x:f>HYPERLINK("https://data.zhiyitech.cn/itemDetail/overview/base?itemId=930605597432","打开知衣")</x:f>
        <x:v>HYPERLINK is not implemented. linkLocation=https://data.zhiyitech.cn/itemDetail/overview/base?itemId=930605597432, friendlyName=打开知衣</x:v>
      </x:c>
      <x:c r="N1025" s="25" t="e">
        <x:f>HYPERLINK("https://img.alicdn.com/i1/2207478008166/O1CN01Xfx1YL2AC5QNsHIMR_!!4611686018427382118-0-item_pic.jpg","查看主图")</x:f>
        <x:v>HYPERLINK is not implemented. linkLocation=https://img.alicdn.com/i1/2207478008166/O1CN01Xfx1YL2AC5QNsHIMR_!!4611686018427382118-0-item_pic.jpg, friendlyName=查看主图</x:v>
      </x:c>
      <x:c r="O1025" s="9" t="str">
        <x:v>标题及既有类目语义复核；UNION 官方授权 INTO THE EAST 25春夏 真丝上衣+长半裙 倪妮同款；原类目及标题已能确认半身裙；展示使用已知大类，未知裙长下沉到结构字段，不强猜长短。</x:v>
      </x:c>
      <x:c r="P1025" s="9" t="str">
        <x:v>普通男女装</x:v>
      </x:c>
      <x:c r="Q1025" s="9" t="str">
        <x:v>W_SKIRTS_AVGPAID_1500_1600_ANNUAL2026.xlsx</x:v>
      </x:c>
      <x:c r="R1025" s="9" t="str">
        <x:v>默认</x:v>
      </x:c>
      <x:c r="S1025" s="9" t="n">
        <x:v>354</x:v>
      </x:c>
      <x:c r="T1025" s="9" t="str">
        <x:v>deede8b56943df4f914be45dba170f12e69064023d6ef0e88dbde1764f6ba23e</x:v>
      </x:c>
      <x:c r="U1025" s="9" t="str">
        <x:v>W_SKIRTS_AVGPAID_1500_1600_ANNUAL2026</x:v>
      </x:c>
      <x:c r="V1025" s="9" t="str">
        <x:v>W_SKIRTS_AVGPAID_1500_1600_ANNUAL2026.xlsx / 默认 / 第354行 / SHA256 deede8b56943df4f914be45dba170f12e69064023d6ef0e88dbde1764f6ba23e</x:v>
      </x:c>
    </x:row>
    <x:row r="1026" ht="58" customHeight="1">
      <x:c r="A1026" s="23" t="str">
        <x:v>965176276501</x:v>
      </x:c>
      <x:c r="B1026" s="22"/>
      <x:c r="C1026" s="22"/>
      <x:c r="D1026" s="22"/>
      <x:c r="E1026" s="9" t="str">
        <x:v>裙长未明确</x:v>
      </x:c>
      <x:c r="F1026" s="9" t="str">
        <x:v>裙装</x:v>
      </x:c>
      <x:c r="G1026" s="9" t="str">
        <x:v>半身裙</x:v>
      </x:c>
      <x:c r="H1026" s="9" t="str">
        <x:v>女</x:v>
      </x:c>
      <x:c r="I1026" s="9" t="str">
        <x:v>enndou 100%羊绒半身裙原创春秋装新款灰色长半身裙简约半裙灰</x:v>
      </x:c>
      <x:c r="J1026" s="9" t="str">
        <x:v>未提供品牌</x:v>
      </x:c>
      <x:c r="K1026" s="24" t="n">
        <x:v>1779.5</x:v>
      </x:c>
      <x:c r="L1026" s="25" t="e">
        <x:f>HYPERLINK("https://item.taobao.com/item.htm?id=965176276501","打开商品")</x:f>
        <x:v>HYPERLINK is not implemented. linkLocation=https://item.taobao.com/item.htm?id=965176276501, friendlyName=打开商品</x:v>
      </x:c>
      <x:c r="M1026" s="25" t="e">
        <x:f>HYPERLINK("https://data.zhiyitech.cn/itemDetail/overview/base?itemId=965176276501","打开知衣")</x:f>
        <x:v>HYPERLINK is not implemented. linkLocation=https://data.zhiyitech.cn/itemDetail/overview/base?itemId=965176276501, friendlyName=打开知衣</x:v>
      </x:c>
      <x:c r="N1026" s="25" t="e">
        <x:f>HYPERLINK("https://img.alicdn.com/bao/uploaded/i3/3582007282/O1CN01y6jSLs23fDEWCtHnk_!!3582007282.jpg","查看主图")</x:f>
        <x:v>HYPERLINK is not implemented. linkLocation=https://img.alicdn.com/bao/uploaded/i3/3582007282/O1CN01y6jSLs23fDEWCtHnk_!!3582007282.jpg, friendlyName=查看主图</x:v>
      </x:c>
      <x:c r="O1026" s="9" t="str">
        <x:v>标题及既有类目语义复核；enndou 100%羊绒半身裙原创春秋装新款灰色长半身裙简约半裙灰；原类目及标题已能确认半身裙；展示使用已知大类，未知裙长下沉到结构字段，不强猜长短。</x:v>
      </x:c>
      <x:c r="P1026" s="9" t="str">
        <x:v>普通男女装</x:v>
      </x:c>
      <x:c r="Q1026" s="9" t="str">
        <x:v>W_SKIRTS_AVGPAID_1700_1800_ANNUAL2026.xlsx</x:v>
      </x:c>
      <x:c r="R1026" s="9" t="str">
        <x:v>默认</x:v>
      </x:c>
      <x:c r="S1026" s="9" t="n">
        <x:v>184</x:v>
      </x:c>
      <x:c r="T1026" s="9" t="str">
        <x:v>c25ed77c53c7c5cfcf728778a0e9b297d8689503f62756a939cbd534ca9b587a</x:v>
      </x:c>
      <x:c r="U1026" s="9" t="str">
        <x:v>W_SKIRTS_AVGPAID_1700_1800_ANNUAL2026</x:v>
      </x:c>
      <x:c r="V1026" s="9" t="str">
        <x:v>W_SKIRTS_AVGPAID_1700_1800_ANNUAL2026.xlsx / 默认 / 第184行 / SHA256 c25ed77c53c7c5cfcf728778a0e9b297d8689503f62756a939cbd534ca9b587a</x:v>
      </x:c>
    </x:row>
    <x:row r="1027" ht="58" customHeight="1">
      <x:c r="A1027" s="23" t="str">
        <x:v>972710241866</x:v>
      </x:c>
      <x:c r="B1027" s="22"/>
      <x:c r="C1027" s="22"/>
      <x:c r="D1027" s="22"/>
      <x:c r="E1027" s="9" t="str">
        <x:v>裙长未明确</x:v>
      </x:c>
      <x:c r="F1027" s="9" t="str">
        <x:v>裙装</x:v>
      </x:c>
      <x:c r="G1027" s="9" t="str">
        <x:v>半身裙</x:v>
      </x:c>
      <x:c r="H1027" s="9" t="str">
        <x:v>女</x:v>
      </x:c>
      <x:c r="I1027" s="9" t="str">
        <x:v>植物染金属丝丝绒棉半裙</x:v>
      </x:c>
      <x:c r="J1027" s="9" t="str">
        <x:v>未提供品牌</x:v>
      </x:c>
      <x:c r="K1027" s="24" t="n">
        <x:v>1771.13</x:v>
      </x:c>
      <x:c r="L1027" s="25" t="e">
        <x:f>HYPERLINK("https://item.taobao.com/item.htm?id=972710241866","打开商品")</x:f>
        <x:v>HYPERLINK is not implemented. linkLocation=https://item.taobao.com/item.htm?id=972710241866, friendlyName=打开商品</x:v>
      </x:c>
      <x:c r="M1027" s="25" t="e">
        <x:f>HYPERLINK("https://data.zhiyitech.cn/itemDetail/overview/base?itemId=972710241866","打开知衣")</x:f>
        <x:v>HYPERLINK is not implemented. linkLocation=https://data.zhiyitech.cn/itemDetail/overview/base?itemId=972710241866, friendlyName=打开知衣</x:v>
      </x:c>
      <x:c r="N1027" s="25" t="e">
        <x:f>HYPERLINK("https://img.alicdn.com/bao/uploaded/i2/2495473350/O1CN01Jwckpo1acLuMMOMai_!!2495473350.jpg","查看主图")</x:f>
        <x:v>HYPERLINK is not implemented. linkLocation=https://img.alicdn.com/bao/uploaded/i2/2495473350/O1CN01Jwckpo1acLuMMOMai_!!2495473350.jpg, friendlyName=查看主图</x:v>
      </x:c>
      <x:c r="O1027" s="9" t="str">
        <x:v>标题及既有类目语义复核；植物染金属丝丝绒棉半裙；原类目及标题已能确认半身裙；展示使用已知大类，未知裙长下沉到结构字段，不强猜长短。</x:v>
      </x:c>
      <x:c r="P1027" s="9" t="str">
        <x:v>普通男女装</x:v>
      </x:c>
      <x:c r="Q1027" s="9" t="str">
        <x:v>W_SKIRTS_AVGPAID_1700_1800_ANNUAL2026.xlsx</x:v>
      </x:c>
      <x:c r="R1027" s="9" t="str">
        <x:v>默认</x:v>
      </x:c>
      <x:c r="S1027" s="9" t="n">
        <x:v>354</x:v>
      </x:c>
      <x:c r="T1027" s="9" t="str">
        <x:v>c25ed77c53c7c5cfcf728778a0e9b297d8689503f62756a939cbd534ca9b587a</x:v>
      </x:c>
      <x:c r="U1027" s="9" t="str">
        <x:v>W_SKIRTS_AVGPAID_1700_1800_ANNUAL2026</x:v>
      </x:c>
      <x:c r="V1027" s="9" t="str">
        <x:v>W_SKIRTS_AVGPAID_1700_1800_ANNUAL2026.xlsx / 默认 / 第354行 / SHA256 c25ed77c53c7c5cfcf728778a0e9b297d8689503f62756a939cbd534ca9b587a</x:v>
      </x:c>
    </x:row>
    <x:row r="1028" ht="58" customHeight="1">
      <x:c r="A1028" s="23" t="str">
        <x:v>983626898704</x:v>
      </x:c>
      <x:c r="B1028" s="22"/>
      <x:c r="C1028" s="22"/>
      <x:c r="D1028" s="22"/>
      <x:c r="E1028" s="9" t="str">
        <x:v>裙长未明确</x:v>
      </x:c>
      <x:c r="F1028" s="9" t="str">
        <x:v>裙装</x:v>
      </x:c>
      <x:c r="G1028" s="9" t="str">
        <x:v>半身裙</x:v>
      </x:c>
      <x:c r="H1028" s="9" t="str">
        <x:v>女</x:v>
      </x:c>
      <x:c r="I1028" s="9" t="str">
        <x:v>enndou秋冬新款100%纯羊绒高腰修身包臀裙修身半身裙保暖半裙</x:v>
      </x:c>
      <x:c r="J1028" s="9" t="str">
        <x:v>未提供品牌</x:v>
      </x:c>
      <x:c r="K1028" s="24" t="n">
        <x:v>1514.36</x:v>
      </x:c>
      <x:c r="L1028" s="25" t="e">
        <x:f>HYPERLINK("https://item.taobao.com/item.htm?id=983626898704","打开商品")</x:f>
        <x:v>HYPERLINK is not implemented. linkLocation=https://item.taobao.com/item.htm?id=983626898704, friendlyName=打开商品</x:v>
      </x:c>
      <x:c r="M1028" s="25" t="e">
        <x:f>HYPERLINK("https://data.zhiyitech.cn/itemDetail/overview/base?itemId=983626898704","打开知衣")</x:f>
        <x:v>HYPERLINK is not implemented. linkLocation=https://data.zhiyitech.cn/itemDetail/overview/base?itemId=983626898704, friendlyName=打开知衣</x:v>
      </x:c>
      <x:c r="N1028" s="25" t="e">
        <x:f>HYPERLINK("https://img.alicdn.com/i1/3582007282/O1CN01oWfae023fDFGfIk9K_!!3582007282.jpg","查看主图")</x:f>
        <x:v>HYPERLINK is not implemented. linkLocation=https://img.alicdn.com/i1/3582007282/O1CN01oWfae023fDFGfIk9K_!!3582007282.jpg, friendlyName=查看主图</x:v>
      </x:c>
      <x:c r="O1028" s="9" t="str">
        <x:v>标题及既有类目语义复核；enndou秋冬新款100%纯羊绒高腰修身包臀裙修身半身裙保暖半裙；原类目及标题已能确认半身裙；展示使用已知大类，未知裙长下沉到结构字段，不强猜长短。</x:v>
      </x:c>
      <x:c r="P1028" s="9" t="str">
        <x:v>普通男女装</x:v>
      </x:c>
      <x:c r="Q1028" s="9" t="str">
        <x:v>W_SKIRTS_AVGPAID_1500_1600_ANNUAL2026.xlsx</x:v>
      </x:c>
      <x:c r="R1028" s="9" t="str">
        <x:v>默认</x:v>
      </x:c>
      <x:c r="S1028" s="9" t="n">
        <x:v>321</x:v>
      </x:c>
      <x:c r="T1028" s="9" t="str">
        <x:v>deede8b56943df4f914be45dba170f12e69064023d6ef0e88dbde1764f6ba23e</x:v>
      </x:c>
      <x:c r="U1028" s="9" t="str">
        <x:v>W_SKIRTS_AVGPAID_1500_1600_ANNUAL2026</x:v>
      </x:c>
      <x:c r="V1028" s="9" t="str">
        <x:v>W_SKIRTS_AVGPAID_1500_1600_ANNUAL2026.xlsx / 默认 / 第321行 / SHA256 deede8b56943df4f914be45dba170f12e69064023d6ef0e88dbde1764f6ba23e</x:v>
      </x:c>
    </x:row>
    <x:row r="1029" ht="58" customHeight="1">
      <x:c r="A1029" s="23" t="str">
        <x:v>988961067044</x:v>
      </x:c>
      <x:c r="B1029" s="22"/>
      <x:c r="C1029" s="22"/>
      <x:c r="D1029" s="22"/>
      <x:c r="E1029" s="9" t="str">
        <x:v>裙长未明确</x:v>
      </x:c>
      <x:c r="F1029" s="9" t="str">
        <x:v>裙装</x:v>
      </x:c>
      <x:c r="G1029" s="9" t="str">
        <x:v>半身裙</x:v>
      </x:c>
      <x:c r="H1029" s="9" t="str">
        <x:v>女</x:v>
      </x:c>
      <x:c r="I1029" s="9" t="str">
        <x:v>o cloche code 棉羊绒坑条半裙针织</x:v>
      </x:c>
      <x:c r="J1029" s="9" t="str">
        <x:v>未提供品牌</x:v>
      </x:c>
      <x:c r="K1029" s="24" t="n">
        <x:v>1334.99</x:v>
      </x:c>
      <x:c r="L1029" s="25" t="e">
        <x:f>HYPERLINK("https://item.taobao.com/item.htm?id=988961067044","打开商品")</x:f>
        <x:v>HYPERLINK is not implemented. linkLocation=https://item.taobao.com/item.htm?id=988961067044, friendlyName=打开商品</x:v>
      </x:c>
      <x:c r="M1029" s="25" t="e">
        <x:f>HYPERLINK("https://data.zhiyitech.cn/itemDetail/overview/base?itemId=988961067044","打开知衣")</x:f>
        <x:v>HYPERLINK is not implemented. linkLocation=https://data.zhiyitech.cn/itemDetail/overview/base?itemId=988961067044, friendlyName=打开知衣</x:v>
      </x:c>
      <x:c r="N1029" s="25" t="e">
        <x:f>HYPERLINK("https://img.alicdn.com/bao/uploaded/i3/143492895/O1CN016HWTbj1XFxi855L7O_!!143492895.jpg","查看主图")</x:f>
        <x:v>HYPERLINK is not implemented. linkLocation=https://img.alicdn.com/bao/uploaded/i3/143492895/O1CN016HWTbj1XFxi855L7O_!!143492895.jpg, friendlyName=查看主图</x:v>
      </x:c>
      <x:c r="O1029" s="9" t="str">
        <x:v>标题及既有类目语义复核；o cloche code 棉羊绒坑条半裙针织；原类目及标题已能确认半身裙；展示使用已知大类，未知裙长下沉到结构字段，不强猜长短。</x:v>
      </x:c>
      <x:c r="P1029" s="9" t="str">
        <x:v>普通男女装</x:v>
      </x:c>
      <x:c r="Q1029" s="9" t="str">
        <x:v>W_SKIRTS_AVGPAID_1300_1400_ANNUAL2026.xlsx</x:v>
      </x:c>
      <x:c r="R1029" s="9" t="str">
        <x:v>默认</x:v>
      </x:c>
      <x:c r="S1029" s="9" t="n">
        <x:v>112</x:v>
      </x:c>
      <x:c r="T1029" s="9" t="str">
        <x:v>bd4dae1e08e9eca7ddd0669235bf59107cdc418b9c2898fc16f36a7ab5748692</x:v>
      </x:c>
      <x:c r="U1029" s="9" t="str">
        <x:v>W_SKIRTS_AVGPAID_1300_1400_ANNUAL2026</x:v>
      </x:c>
      <x:c r="V1029" s="9" t="str">
        <x:v>W_SKIRTS_AVGPAID_1300_1400_ANNUAL2026.xlsx / 默认 / 第112行 / SHA256 bd4dae1e08e9eca7ddd0669235bf59107cdc418b9c2898fc16f36a7ab5748692</x:v>
      </x:c>
    </x:row>
    <x:row r="1030" ht="58" customHeight="1">
      <x:c r="A1030" s="23" t="str">
        <x:v>999362596960</x:v>
      </x:c>
      <x:c r="B1030" s="22"/>
      <x:c r="C1030" s="22"/>
      <x:c r="D1030" s="22"/>
      <x:c r="E1030" s="9" t="str">
        <x:v>裙长未明确</x:v>
      </x:c>
      <x:c r="F1030" s="9" t="str">
        <x:v>裙装</x:v>
      </x:c>
      <x:c r="G1030" s="9" t="str">
        <x:v>半身裙</x:v>
      </x:c>
      <x:c r="H1030" s="9" t="str">
        <x:v>女</x:v>
      </x:c>
      <x:c r="I1030" s="9" t="str">
        <x:v>YIMAIMAI呼啸山庄 丝驼绒混纺高腰半身裙现货</x:v>
      </x:c>
      <x:c r="J1030" s="9" t="str">
        <x:v>未提供品牌</x:v>
      </x:c>
      <x:c r="K1030" s="24" t="n">
        <x:v>1764.16</x:v>
      </x:c>
      <x:c r="L1030" s="25" t="e">
        <x:f>HYPERLINK("https://item.taobao.com/item.htm?id=999362596960","打开商品")</x:f>
        <x:v>HYPERLINK is not implemented. linkLocation=https://item.taobao.com/item.htm?id=999362596960, friendlyName=打开商品</x:v>
      </x:c>
      <x:c r="M1030" s="25" t="e">
        <x:f>HYPERLINK("https://data.zhiyitech.cn/itemDetail/overview/base?itemId=999362596960","打开知衣")</x:f>
        <x:v>HYPERLINK is not implemented. linkLocation=https://data.zhiyitech.cn/itemDetail/overview/base?itemId=999362596960, friendlyName=打开知衣</x:v>
      </x:c>
      <x:c r="N1030" s="25" t="e">
        <x:f>HYPERLINK("https://img.alicdn.com/i1/245617881/O1CN01JwsM75285YVBDtZt5_!!245617881.jpg","查看主图")</x:f>
        <x:v>HYPERLINK is not implemented. linkLocation=https://img.alicdn.com/i1/245617881/O1CN01JwsM75285YVBDtZt5_!!245617881.jpg, friendlyName=查看主图</x:v>
      </x:c>
      <x:c r="O1030" s="9" t="str">
        <x:v>标题及既有类目语义复核；YIMAIMAI呼啸山庄 丝驼绒混纺高腰半身裙现货；原类目及标题已能确认半身裙；展示使用已知大类，未知裙长下沉到结构字段，不强猜长短。</x:v>
      </x:c>
      <x:c r="P1030" s="9" t="str">
        <x:v>普通男女装</x:v>
      </x:c>
      <x:c r="Q1030" s="9" t="str">
        <x:v>W_SKIRTS_AVGPAID_1700_1800_ANNUAL2026.xlsx</x:v>
      </x:c>
      <x:c r="R1030" s="9" t="str">
        <x:v>默认</x:v>
      </x:c>
      <x:c r="S1030" s="9" t="n">
        <x:v>130</x:v>
      </x:c>
      <x:c r="T1030" s="9" t="str">
        <x:v>c25ed77c53c7c5cfcf728778a0e9b297d8689503f62756a939cbd534ca9b587a</x:v>
      </x:c>
      <x:c r="U1030" s="9" t="str">
        <x:v>W_SKIRTS_AVGPAID_1700_1800_ANNUAL2026</x:v>
      </x:c>
      <x:c r="V1030" s="9" t="str">
        <x:v>W_SKIRTS_AVGPAID_1700_1800_ANNUAL2026.xlsx / 默认 / 第130行 / SHA256 c25ed77c53c7c5cfcf728778a0e9b297d8689503f62756a939cbd534ca9b587a</x:v>
      </x:c>
    </x:row>
    <x:row r="1031" ht="58" customHeight="1">
      <x:c r="A1031" s="23" t="str">
        <x:v>972603937262</x:v>
      </x:c>
      <x:c r="B1031" s="22"/>
      <x:c r="C1031" s="22"/>
      <x:c r="D1031" s="22"/>
      <x:c r="E1031" s="9" t="str">
        <x:v>裙长未明确</x:v>
      </x:c>
      <x:c r="F1031" s="9" t="str">
        <x:v>裙装</x:v>
      </x:c>
      <x:c r="G1031" s="9" t="str">
        <x:v>半身裙</x:v>
      </x:c>
      <x:c r="H1031" s="9" t="str">
        <x:v>女</x:v>
      </x:c>
      <x:c r="I1031" s="9" t="str">
        <x:v>素红黑2026秋季新款中式西装腰重锻皮子桑蚕丝真丝香云纱半身裙</x:v>
      </x:c>
      <x:c r="J1031" s="9" t="str">
        <x:v>朴絮</x:v>
      </x:c>
      <x:c r="K1031" s="24" t="n">
        <x:v>1359.58</x:v>
      </x:c>
      <x:c r="L1031" s="25" t="e">
        <x:f>HYPERLINK("https://item.taobao.com/item.htm?id=972603937262","打开商品")</x:f>
        <x:v>HYPERLINK is not implemented. linkLocation=https://item.taobao.com/item.htm?id=972603937262, friendlyName=打开商品</x:v>
      </x:c>
      <x:c r="M1031" s="25" t="e">
        <x:f>HYPERLINK("https://data.zhiyitech.cn/itemDetail/overview/base?itemId=972603937262","打开知衣")</x:f>
        <x:v>HYPERLINK is not implemented. linkLocation=https://data.zhiyitech.cn/itemDetail/overview/base?itemId=972603937262, friendlyName=打开知衣</x:v>
      </x:c>
      <x:c r="N1031" s="25" t="e">
        <x:f>HYPERLINK("https://img.alicdn.com/bao/uploaded/i3/679102590/O1CN01UwfVY31V0Gtk2FEBx_!!679102590.jpg","查看主图")</x:f>
        <x:v>HYPERLINK is not implemented. linkLocation=https://img.alicdn.com/bao/uploaded/i3/679102590/O1CN01UwfVY31V0Gtk2FEBx_!!679102590.jpg, friendlyName=查看主图</x:v>
      </x:c>
      <x:c r="O1031" s="9" t="str">
        <x:v>标题及既有类目语义复核；素红黑2026秋季新款中式西装腰重锻皮子桑蚕丝真丝香云纱半身裙；原类目及标题已能确认半身裙；展示使用已知大类，未知裙长下沉到结构字段，不强猜长短。</x:v>
      </x:c>
      <x:c r="P1031" s="9" t="str">
        <x:v>普通男女装</x:v>
      </x:c>
      <x:c r="Q1031" s="9" t="str">
        <x:v>W_SKIRTS_AVGPAID_1300_1400_ANNUAL2026.xlsx</x:v>
      </x:c>
      <x:c r="R1031" s="9" t="str">
        <x:v>默认</x:v>
      </x:c>
      <x:c r="S1031" s="9" t="n">
        <x:v>220</x:v>
      </x:c>
      <x:c r="T1031" s="9" t="str">
        <x:v>bd4dae1e08e9eca7ddd0669235bf59107cdc418b9c2898fc16f36a7ab5748692</x:v>
      </x:c>
      <x:c r="U1031" s="9" t="str">
        <x:v>W_SKIRTS_AVGPAID_1300_1400_ANNUAL2026</x:v>
      </x:c>
      <x:c r="V1031" s="9" t="str">
        <x:v>W_SKIRTS_AVGPAID_1300_1400_ANNUAL2026.xlsx / 默认 / 第220行 / SHA256 bd4dae1e08e9eca7ddd0669235bf59107cdc418b9c2898fc16f36a7ab5748692</x:v>
      </x:c>
    </x:row>
    <x:row r="1032" ht="58" customHeight="1">
      <x:c r="A1032" s="23" t="str">
        <x:v>1085256240810</x:v>
      </x:c>
      <x:c r="B1032" s="22"/>
      <x:c r="C1032" s="22"/>
      <x:c r="D1032" s="22"/>
      <x:c r="E1032" s="9" t="str">
        <x:v>裙长未明确</x:v>
      </x:c>
      <x:c r="F1032" s="9" t="str">
        <x:v>裙装</x:v>
      </x:c>
      <x:c r="G1032" s="9" t="str">
        <x:v>半身裙</x:v>
      </x:c>
      <x:c r="H1032" s="9" t="str">
        <x:v>女</x:v>
      </x:c>
      <x:c r="I1032" s="9" t="str">
        <x:v>杨小妖千金皮裙 都市气质全植鞣绵羊皮A字花苞松紧腰半身伞裙女新</x:v>
      </x:c>
      <x:c r="J1032" s="9" t="str">
        <x:v>杨小妖</x:v>
      </x:c>
      <x:c r="K1032" s="24" t="n">
        <x:v>1322.64</x:v>
      </x:c>
      <x:c r="L1032" s="25" t="e">
        <x:f>HYPERLINK("https://item.taobao.com/item.htm?id=1085256240810","打开商品")</x:f>
        <x:v>HYPERLINK is not implemented. linkLocation=https://item.taobao.com/item.htm?id=1085256240810, friendlyName=打开商品</x:v>
      </x:c>
      <x:c r="M1032" s="25" t="e">
        <x:f>HYPERLINK("https://data.zhiyitech.cn/itemDetail/overview/base?itemId=1085256240810","打开知衣")</x:f>
        <x:v>HYPERLINK is not implemented. linkLocation=https://data.zhiyitech.cn/itemDetail/overview/base?itemId=1085256240810, friendlyName=打开知衣</x:v>
      </x:c>
      <x:c r="N1032" s="25" t="e">
        <x:f>HYPERLINK("https://img.alicdn.com/bao/uploaded/i1/684565485/O1CN01zWaiPROqwfL32pKq_!!684565485.jpg","查看主图")</x:f>
        <x:v>HYPERLINK is not implemented. linkLocation=https://img.alicdn.com/bao/uploaded/i1/684565485/O1CN01zWaiPROqwfL32pKq_!!684565485.jpg, friendlyName=查看主图</x:v>
      </x:c>
      <x:c r="O1032" s="9" t="str">
        <x:v>标题及既有类目语义复核；杨小妖千金皮裙 都市气质全植鞣绵羊皮A字花苞松紧腰半身伞裙女新；原类目及标题已能确认半身裙；展示使用已知大类，未知裙长下沉到结构字段，不强猜长短。</x:v>
      </x:c>
      <x:c r="P1032" s="9" t="str">
        <x:v>普通男女装</x:v>
      </x:c>
      <x:c r="Q1032" s="9" t="str">
        <x:v>W_SKIRTS_AVGPAID_1300_1400_ANNUAL2026.xlsx</x:v>
      </x:c>
      <x:c r="R1032" s="9" t="str">
        <x:v>默认</x:v>
      </x:c>
      <x:c r="S1032" s="9" t="n">
        <x:v>96</x:v>
      </x:c>
      <x:c r="T1032" s="9" t="str">
        <x:v>bd4dae1e08e9eca7ddd0669235bf59107cdc418b9c2898fc16f36a7ab5748692</x:v>
      </x:c>
      <x:c r="U1032" s="9" t="str">
        <x:v>W_SKIRTS_AVGPAID_1300_1400_ANNUAL2026</x:v>
      </x:c>
      <x:c r="V1032" s="9" t="str">
        <x:v>W_SKIRTS_AVGPAID_1300_1400_ANNUAL2026.xlsx / 默认 / 第96行 / SHA256 bd4dae1e08e9eca7ddd0669235bf59107cdc418b9c2898fc16f36a7ab5748692</x:v>
      </x:c>
    </x:row>
    <x:row r="1033" ht="58" customHeight="1">
      <x:c r="A1033" s="23" t="str">
        <x:v>844851063691</x:v>
      </x:c>
      <x:c r="B1033" s="22"/>
      <x:c r="C1033" s="22"/>
      <x:c r="D1033" s="22"/>
      <x:c r="E1033" s="9" t="str">
        <x:v>裙长未明确</x:v>
      </x:c>
      <x:c r="F1033" s="9" t="str">
        <x:v>裙装</x:v>
      </x:c>
      <x:c r="G1033" s="9" t="str">
        <x:v>半身裙</x:v>
      </x:c>
      <x:c r="H1033" s="9" t="str">
        <x:v>女</x:v>
      </x:c>
      <x:c r="I1033" s="9" t="str">
        <x:v>杨小妖 花苞皮裙 运动休闲风抽绳温润小羊皮女士真皮半裙冬季新款</x:v>
      </x:c>
      <x:c r="J1033" s="9" t="str">
        <x:v>杨小妖</x:v>
      </x:c>
      <x:c r="K1033" s="24" t="n">
        <x:v>1511.78</x:v>
      </x:c>
      <x:c r="L1033" s="25" t="e">
        <x:f>HYPERLINK("https://item.taobao.com/item.htm?id=844851063691","打开商品")</x:f>
        <x:v>HYPERLINK is not implemented. linkLocation=https://item.taobao.com/item.htm?id=844851063691, friendlyName=打开商品</x:v>
      </x:c>
      <x:c r="M1033" s="25" t="e">
        <x:f>HYPERLINK("https://data.zhiyitech.cn/itemDetail/overview/base?itemId=844851063691","打开知衣")</x:f>
        <x:v>HYPERLINK is not implemented. linkLocation=https://data.zhiyitech.cn/itemDetail/overview/base?itemId=844851063691, friendlyName=打开知衣</x:v>
      </x:c>
      <x:c r="N1033" s="25" t="e">
        <x:f>HYPERLINK("https://img.alicdn.com/bao/uploaded/i1/684565485/O1CN01Hpe24iBmZGD1chua_!!684565485.jpg","查看主图")</x:f>
        <x:v>HYPERLINK is not implemented. linkLocation=https://img.alicdn.com/bao/uploaded/i1/684565485/O1CN01Hpe24iBmZGD1chua_!!684565485.jpg, friendlyName=查看主图</x:v>
      </x:c>
      <x:c r="O1033" s="9" t="str">
        <x:v>标题及既有类目语义复核；杨小妖 花苞皮裙 运动休闲风抽绳温润小羊皮女士真皮半裙冬季新款；原类目及标题已能确认半身裙；展示使用已知大类，未知裙长下沉到结构字段，不强猜长短。</x:v>
      </x:c>
      <x:c r="P1033" s="9" t="str">
        <x:v>普通男女装</x:v>
      </x:c>
      <x:c r="Q1033" s="9" t="str">
        <x:v>W_SKIRTS_AVGPAID_1500_1600_ANNUAL2026.xlsx</x:v>
      </x:c>
      <x:c r="R1033" s="9" t="str">
        <x:v>默认</x:v>
      </x:c>
      <x:c r="S1033" s="9" t="n">
        <x:v>85</x:v>
      </x:c>
      <x:c r="T1033" s="9" t="str">
        <x:v>deede8b56943df4f914be45dba170f12e69064023d6ef0e88dbde1764f6ba23e</x:v>
      </x:c>
      <x:c r="U1033" s="9" t="str">
        <x:v>W_SKIRTS_AVGPAID_1500_1600_ANNUAL2026</x:v>
      </x:c>
      <x:c r="V1033" s="9" t="str">
        <x:v>W_SKIRTS_AVGPAID_1500_1600_ANNUAL2026.xlsx / 默认 / 第85行 / SHA256 deede8b56943df4f914be45dba170f12e69064023d6ef0e88dbde1764f6ba23e</x:v>
      </x:c>
    </x:row>
    <x:row r="1034" ht="58" customHeight="1">
      <x:c r="A1034" s="23" t="str">
        <x:v>981438793935</x:v>
      </x:c>
      <x:c r="B1034" s="22"/>
      <x:c r="C1034" s="22"/>
      <x:c r="D1034" s="22"/>
      <x:c r="E1034" s="9" t="str">
        <x:v>裙长未明确</x:v>
      </x:c>
      <x:c r="F1034" s="9" t="str">
        <x:v>裙装</x:v>
      </x:c>
      <x:c r="G1034" s="9" t="str">
        <x:v>半身裙</x:v>
      </x:c>
      <x:c r="H1034" s="9" t="str">
        <x:v>女</x:v>
      </x:c>
      <x:c r="I1034" s="9" t="str">
        <x:v>EIM 日本进口100%重磅砂洗宾霸铜氨丝 ROW风雾面光感鱼尾半身裙女</x:v>
      </x:c>
      <x:c r="J1034" s="9" t="str">
        <x:v>格物（服饰）</x:v>
      </x:c>
      <x:c r="K1034" s="24" t="n">
        <x:v>1327.57</x:v>
      </x:c>
      <x:c r="L1034" s="25" t="e">
        <x:f>HYPERLINK("https://item.taobao.com/item.htm?id=981438793935","打开商品")</x:f>
        <x:v>HYPERLINK is not implemented. linkLocation=https://item.taobao.com/item.htm?id=981438793935, friendlyName=打开商品</x:v>
      </x:c>
      <x:c r="M1034" s="25" t="e">
        <x:f>HYPERLINK("https://data.zhiyitech.cn/itemDetail/overview/base?itemId=981438793935","打开知衣")</x:f>
        <x:v>HYPERLINK is not implemented. linkLocation=https://data.zhiyitech.cn/itemDetail/overview/base?itemId=981438793935, friendlyName=打开知衣</x:v>
      </x:c>
      <x:c r="N1034" s="25" t="e">
        <x:f>HYPERLINK("https://img.alicdn.com/bao/uploaded/i3/2217494748174/O1CN01vP6UlZ2AFkZR7r9cF_!!4611686018427386894-0-item_pic.jpg","查看主图")</x:f>
        <x:v>HYPERLINK is not implemented. linkLocation=https://img.alicdn.com/bao/uploaded/i3/2217494748174/O1CN01vP6UlZ2AFkZR7r9cF_!!4611686018427386894-0-item_pic.jpg, friendlyName=查看主图</x:v>
      </x:c>
      <x:c r="O1034" s="9" t="str">
        <x:v>标题及既有类目语义复核；EIM 日本进口100%重磅砂洗宾霸铜氨丝 ROW风雾面光感鱼尾半身裙女；原类目及标题已能确认半身裙；展示使用已知大类，未知裙长下沉到结构字段，不强猜长短。</x:v>
      </x:c>
      <x:c r="P1034" s="9" t="str">
        <x:v>普通男女装</x:v>
      </x:c>
      <x:c r="Q1034" s="9" t="str">
        <x:v>W_SKIRTS_AVGPAID_1300_1400_ANNUAL2026.xlsx</x:v>
      </x:c>
      <x:c r="R1034" s="9" t="str">
        <x:v>默认</x:v>
      </x:c>
      <x:c r="S1034" s="9" t="n">
        <x:v>87</x:v>
      </x:c>
      <x:c r="T1034" s="9" t="str">
        <x:v>bd4dae1e08e9eca7ddd0669235bf59107cdc418b9c2898fc16f36a7ab5748692</x:v>
      </x:c>
      <x:c r="U1034" s="9" t="str">
        <x:v>W_SKIRTS_AVGPAID_1300_1400_ANNUAL2026</x:v>
      </x:c>
      <x:c r="V1034" s="9" t="str">
        <x:v>W_SKIRTS_AVGPAID_1300_1400_ANNUAL2026.xlsx / 默认 / 第87行 / SHA256 bd4dae1e08e9eca7ddd0669235bf59107cdc418b9c2898fc16f36a7ab5748692</x:v>
      </x:c>
    </x:row>
    <x:row r="1035" ht="58" customHeight="1">
      <x:c r="A1035" s="23" t="str">
        <x:v>1080302728658</x:v>
      </x:c>
      <x:c r="B1035" s="22"/>
      <x:c r="C1035" s="22"/>
      <x:c r="D1035" s="22"/>
      <x:c r="E1035" s="9" t="str">
        <x:v>裙长未明确</x:v>
      </x:c>
      <x:c r="F1035" s="9" t="str">
        <x:v>裙装</x:v>
      </x:c>
      <x:c r="G1035" s="9" t="str">
        <x:v>半身裙</x:v>
      </x:c>
      <x:c r="H1035" s="9" t="str">
        <x:v>女</x:v>
      </x:c>
      <x:c r="I1035" s="9" t="str">
        <x:v>【设计师女装】ODTD26秋季新款法式复古不规则丝绒半裙女设计感</x:v>
      </x:c>
      <x:c r="J1035" s="9" t="str">
        <x:v>欧蒂绨蒂</x:v>
      </x:c>
      <x:c r="K1035" s="24" t="n">
        <x:v>1525.53</x:v>
      </x:c>
      <x:c r="L1035" s="25" t="e">
        <x:f>HYPERLINK("https://item.taobao.com/item.htm?id=1080302728658","打开商品")</x:f>
        <x:v>HYPERLINK is not implemented. linkLocation=https://item.taobao.com/item.htm?id=1080302728658, friendlyName=打开商品</x:v>
      </x:c>
      <x:c r="M1035" s="25" t="e">
        <x:f>HYPERLINK("https://data.zhiyitech.cn/itemDetail/overview/base?itemId=1080302728658","打开知衣")</x:f>
        <x:v>HYPERLINK is not implemented. linkLocation=https://data.zhiyitech.cn/itemDetail/overview/base?itemId=1080302728658, friendlyName=打开知衣</x:v>
      </x:c>
      <x:c r="N1035" s="25" t="e">
        <x:f>HYPERLINK("https://img.alicdn.com/bao/uploaded/i4/2216109538737/O1CN011SDoc89LVqG2vH2e_!!4611686018427387313-0-item_pic.jpg","查看主图")</x:f>
        <x:v>HYPERLINK is not implemented. linkLocation=https://img.alicdn.com/bao/uploaded/i4/2216109538737/O1CN011SDoc89LVqG2vH2e_!!4611686018427387313-0-item_pic.jpg, friendlyName=查看主图</x:v>
      </x:c>
      <x:c r="O1035" s="9" t="str">
        <x:v>标题及既有类目语义复核；【设计师女装】ODTD26秋季新款法式复古不规则丝绒半裙女设计感；原类目及标题已能确认半身裙；展示使用已知大类，未知裙长下沉到结构字段，不强猜长短。</x:v>
      </x:c>
      <x:c r="P1035" s="9" t="str">
        <x:v>普通男女装</x:v>
      </x:c>
      <x:c r="Q1035" s="9" t="str">
        <x:v>W_SKIRTS_AVGPAID_1500_1600_ANNUAL2026.xlsx</x:v>
      </x:c>
      <x:c r="R1035" s="9" t="str">
        <x:v>默认</x:v>
      </x:c>
      <x:c r="S1035" s="9" t="n">
        <x:v>271</x:v>
      </x:c>
      <x:c r="T1035" s="9" t="str">
        <x:v>deede8b56943df4f914be45dba170f12e69064023d6ef0e88dbde1764f6ba23e</x:v>
      </x:c>
      <x:c r="U1035" s="9" t="str">
        <x:v>W_SKIRTS_AVGPAID_1500_1600_ANNUAL2026</x:v>
      </x:c>
      <x:c r="V1035" s="9" t="str">
        <x:v>W_SKIRTS_AVGPAID_1500_1600_ANNUAL2026.xlsx / 默认 / 第271行 / SHA256 deede8b56943df4f914be45dba170f12e69064023d6ef0e88dbde1764f6ba23e</x:v>
      </x:c>
    </x:row>
    <x:row r="1036" ht="58" customHeight="1">
      <x:c r="A1036" s="23" t="str">
        <x:v>654223534862</x:v>
      </x:c>
      <x:c r="B1036" s="22"/>
      <x:c r="C1036" s="22"/>
      <x:c r="D1036" s="22"/>
      <x:c r="E1036" s="9" t="str">
        <x:v>裙长未明确</x:v>
      </x:c>
      <x:c r="F1036" s="9" t="str">
        <x:v>裙装</x:v>
      </x:c>
      <x:c r="G1036" s="9" t="str">
        <x:v>半身裙</x:v>
      </x:c>
      <x:c r="H1036" s="9" t="str">
        <x:v>女</x:v>
      </x:c>
      <x:c r="I1036" s="9" t="str">
        <x:v>tuyue设计师涂月一步裙时髦A型</x:v>
      </x:c>
      <x:c r="J1036" s="9" t="str">
        <x:v>涂月</x:v>
      </x:c>
      <x:c r="K1036" s="24" t="n">
        <x:v>1774.95</x:v>
      </x:c>
      <x:c r="L1036" s="25" t="e">
        <x:f>HYPERLINK("https://item.taobao.com/item.htm?id=654223534862","打开商品")</x:f>
        <x:v>HYPERLINK is not implemented. linkLocation=https://item.taobao.com/item.htm?id=654223534862, friendlyName=打开商品</x:v>
      </x:c>
      <x:c r="M1036" s="25" t="e">
        <x:f>HYPERLINK("https://data.zhiyitech.cn/itemDetail/overview/base?itemId=654223534862","打开知衣")</x:f>
        <x:v>HYPERLINK is not implemented. linkLocation=https://data.zhiyitech.cn/itemDetail/overview/base?itemId=654223534862, friendlyName=打开知衣</x:v>
      </x:c>
      <x:c r="N1036" s="25" t="e">
        <x:f>HYPERLINK("https://img.alicdn.com/bao/uploaded/i2/834943116/O1CN01bNMcDCgDZ6F2vH2e_!!4611686018427385996-0-item_pic.jpg","查看主图")</x:f>
        <x:v>HYPERLINK is not implemented. linkLocation=https://img.alicdn.com/bao/uploaded/i2/834943116/O1CN01bNMcDCgDZ6F2vH2e_!!4611686018427385996-0-item_pic.jpg, friendlyName=查看主图</x:v>
      </x:c>
      <x:c r="O1036" s="9" t="str">
        <x:v>标题及既有类目语义复核；tuyue设计师涂月一步裙时髦A型；原类目及标题已能确认半身裙；展示使用已知大类，未知裙长下沉到结构字段，不强猜长短。</x:v>
      </x:c>
      <x:c r="P1036" s="9" t="str">
        <x:v>普通男女装</x:v>
      </x:c>
      <x:c r="Q1036" s="9" t="str">
        <x:v>W_SKIRTS_AVGPAID_1700_1800_ANNUAL2026.xlsx</x:v>
      </x:c>
      <x:c r="R1036" s="9" t="str">
        <x:v>默认</x:v>
      </x:c>
      <x:c r="S1036" s="9" t="n">
        <x:v>136</x:v>
      </x:c>
      <x:c r="T1036" s="9" t="str">
        <x:v>c25ed77c53c7c5cfcf728778a0e9b297d8689503f62756a939cbd534ca9b587a</x:v>
      </x:c>
      <x:c r="U1036" s="9" t="str">
        <x:v>W_SKIRTS_AVGPAID_1700_1800_ANNUAL2026</x:v>
      </x:c>
      <x:c r="V1036" s="9" t="str">
        <x:v>W_SKIRTS_AVGPAID_1700_1800_ANNUAL2026.xlsx / 默认 / 第136行 / SHA256 c25ed77c53c7c5cfcf728778a0e9b297d8689503f62756a939cbd534ca9b587a</x:v>
      </x:c>
    </x:row>
    <x:row r="1037" ht="58" customHeight="1">
      <x:c r="A1037" s="23" t="str">
        <x:v>1044280346553</x:v>
      </x:c>
      <x:c r="B1037" s="22"/>
      <x:c r="C1037" s="22"/>
      <x:c r="D1037" s="22"/>
      <x:c r="E1037" s="9" t="str">
        <x:v>裙长未明确</x:v>
      </x:c>
      <x:c r="F1037" s="9" t="str">
        <x:v>裙装</x:v>
      </x:c>
      <x:c r="G1037" s="9" t="str">
        <x:v>半身裙</x:v>
      </x:c>
      <x:c r="H1037" s="9" t="str">
        <x:v>女</x:v>
      </x:c>
      <x:c r="I1037" s="9" t="str">
        <x:v>《流光裙》MYL 2026 28姆米桑蚕丝混纺白色半身裙褶皱松紧腰半裙</x:v>
      </x:c>
      <x:c r="J1037" s="9" t="str">
        <x:v>漫颜刘</x:v>
      </x:c>
      <x:c r="K1037" s="24" t="n">
        <x:v>1774.94</x:v>
      </x:c>
      <x:c r="L1037" s="25" t="e">
        <x:f>HYPERLINK("https://item.taobao.com/item.htm?id=1044280346553","打开商品")</x:f>
        <x:v>HYPERLINK is not implemented. linkLocation=https://item.taobao.com/item.htm?id=1044280346553, friendlyName=打开商品</x:v>
      </x:c>
      <x:c r="M1037" s="25" t="e">
        <x:f>HYPERLINK("https://data.zhiyitech.cn/itemDetail/overview/base?itemId=1044280346553","打开知衣")</x:f>
        <x:v>HYPERLINK is not implemented. linkLocation=https://data.zhiyitech.cn/itemDetail/overview/base?itemId=1044280346553, friendlyName=打开知衣</x:v>
      </x:c>
      <x:c r="N1037" s="25" t="e">
        <x:f>HYPERLINK("https://img.alicdn.com/bao/uploaded/i2/376997809/O1CN015m2jdO27YZwXVVyim_!!376997809.jpg","查看主图")</x:f>
        <x:v>HYPERLINK is not implemented. linkLocation=https://img.alicdn.com/bao/uploaded/i2/376997809/O1CN015m2jdO27YZwXVVyim_!!376997809.jpg, friendlyName=查看主图</x:v>
      </x:c>
      <x:c r="O1037" s="9" t="str">
        <x:v>标题及既有类目语义复核；《流光裙》MYL 2026 28姆米桑蚕丝混纺白色半身裙褶皱松紧腰半裙；原类目及标题已能确认半身裙；展示使用已知大类，未知裙长下沉到结构字段，不强猜长短。</x:v>
      </x:c>
      <x:c r="P1037" s="9" t="str">
        <x:v>普通男女装</x:v>
      </x:c>
      <x:c r="Q1037" s="9" t="str">
        <x:v>W_SKIRTS_AVGPAID_1700_1800_ANNUAL2026.xlsx</x:v>
      </x:c>
      <x:c r="R1037" s="9" t="str">
        <x:v>默认</x:v>
      </x:c>
      <x:c r="S1037" s="9" t="n">
        <x:v>239</x:v>
      </x:c>
      <x:c r="T1037" s="9" t="str">
        <x:v>c25ed77c53c7c5cfcf728778a0e9b297d8689503f62756a939cbd534ca9b587a</x:v>
      </x:c>
      <x:c r="U1037" s="9" t="str">
        <x:v>W_SKIRTS_AVGPAID_1700_1800_ANNUAL2026</x:v>
      </x:c>
      <x:c r="V1037" s="9" t="str">
        <x:v>W_SKIRTS_AVGPAID_1700_1800_ANNUAL2026.xlsx / 默认 / 第239行 / SHA256 c25ed77c53c7c5cfcf728778a0e9b297d8689503f62756a939cbd534ca9b587a</x:v>
      </x:c>
    </x:row>
    <x:row r="1038" ht="58" customHeight="1">
      <x:c r="A1038" s="23" t="str">
        <x:v>1047387811746</x:v>
      </x:c>
      <x:c r="B1038" s="22"/>
      <x:c r="C1038" s="22"/>
      <x:c r="D1038" s="22"/>
      <x:c r="E1038" s="9" t="str">
        <x:v>裙长未明确</x:v>
      </x:c>
      <x:c r="F1038" s="9" t="str">
        <x:v>裙装</x:v>
      </x:c>
      <x:c r="G1038" s="9" t="str">
        <x:v>半身裙</x:v>
      </x:c>
      <x:c r="H1038" s="9" t="str">
        <x:v>女</x:v>
      </x:c>
      <x:c r="I1038" s="9" t="str">
        <x:v>《流光裙》MYL 2026 28姆米桑蚕丝混纺白色半身裙褶皱松紧腰半裙</x:v>
      </x:c>
      <x:c r="J1038" s="9" t="str">
        <x:v>漫颜刘</x:v>
      </x:c>
      <x:c r="K1038" s="24" t="n">
        <x:v>1788.99</x:v>
      </x:c>
      <x:c r="L1038" s="25" t="e">
        <x:f>HYPERLINK("https://item.taobao.com/item.htm?id=1047387811746","打开商品")</x:f>
        <x:v>HYPERLINK is not implemented. linkLocation=https://item.taobao.com/item.htm?id=1047387811746, friendlyName=打开商品</x:v>
      </x:c>
      <x:c r="M1038" s="25" t="e">
        <x:f>HYPERLINK("https://data.zhiyitech.cn/itemDetail/overview/base?itemId=1047387811746","打开知衣")</x:f>
        <x:v>HYPERLINK is not implemented. linkLocation=https://data.zhiyitech.cn/itemDetail/overview/base?itemId=1047387811746, friendlyName=打开知衣</x:v>
      </x:c>
      <x:c r="N1038" s="25" t="e">
        <x:f>HYPERLINK("https://img.alicdn.com/bao/uploaded/i2/376997809/O1CN01V4y6QU27Ya1OFqwgv_!!376997809.jpg","查看主图")</x:f>
        <x:v>HYPERLINK is not implemented. linkLocation=https://img.alicdn.com/bao/uploaded/i2/376997809/O1CN01V4y6QU27Ya1OFqwgv_!!376997809.jpg, friendlyName=查看主图</x:v>
      </x:c>
      <x:c r="O1038" s="9" t="str">
        <x:v>标题及既有类目语义复核；《流光裙》MYL 2026 28姆米桑蚕丝混纺白色半身裙褶皱松紧腰半裙；原类目及标题已能确认半身裙；展示使用已知大类，未知裙长下沉到结构字段，不强猜长短。</x:v>
      </x:c>
      <x:c r="P1038" s="9" t="str">
        <x:v>普通男女装</x:v>
      </x:c>
      <x:c r="Q1038" s="9" t="str">
        <x:v>W_SKIRTS_AVGPAID_1700_1800_ANNUAL2026.xlsx</x:v>
      </x:c>
      <x:c r="R1038" s="9" t="str">
        <x:v>默认</x:v>
      </x:c>
      <x:c r="S1038" s="9" t="n">
        <x:v>90</x:v>
      </x:c>
      <x:c r="T1038" s="9" t="str">
        <x:v>c25ed77c53c7c5cfcf728778a0e9b297d8689503f62756a939cbd534ca9b587a</x:v>
      </x:c>
      <x:c r="U1038" s="9" t="str">
        <x:v>W_SKIRTS_AVGPAID_1700_1800_ANNUAL2026</x:v>
      </x:c>
      <x:c r="V1038" s="9" t="str">
        <x:v>W_SKIRTS_AVGPAID_1700_1800_ANNUAL2026.xlsx / 默认 / 第90行 / SHA256 c25ed77c53c7c5cfcf728778a0e9b297d8689503f62756a939cbd534ca9b587a</x:v>
      </x:c>
    </x:row>
    <x:row r="1039" ht="58" customHeight="1">
      <x:c r="A1039" s="23" t="str">
        <x:v>1036211193351</x:v>
      </x:c>
      <x:c r="B1039" s="22"/>
      <x:c r="C1039" s="22"/>
      <x:c r="D1039" s="22"/>
      <x:c r="E1039" s="9" t="str">
        <x:v>裙长未明确</x:v>
      </x:c>
      <x:c r="F1039" s="9" t="str">
        <x:v>裙装</x:v>
      </x:c>
      <x:c r="G1039" s="9" t="str">
        <x:v>半身裙</x:v>
      </x:c>
      <x:c r="H1039" s="9" t="str">
        <x:v>女</x:v>
      </x:c>
      <x:c r="I1039" s="9" t="str">
        <x:v>重磅龟裂纹香云纱半身裙</x:v>
      </x:c>
      <x:c r="J1039" s="9" t="str">
        <x:v>牧衣游</x:v>
      </x:c>
      <x:c r="K1039" s="24" t="n">
        <x:v>1532.93</x:v>
      </x:c>
      <x:c r="L1039" s="25" t="e">
        <x:f>HYPERLINK("https://item.taobao.com/item.htm?id=1036211193351","打开商品")</x:f>
        <x:v>HYPERLINK is not implemented. linkLocation=https://item.taobao.com/item.htm?id=1036211193351, friendlyName=打开商品</x:v>
      </x:c>
      <x:c r="M1039" s="25" t="e">
        <x:f>HYPERLINK("https://data.zhiyitech.cn/itemDetail/overview/base?itemId=1036211193351","打开知衣")</x:f>
        <x:v>HYPERLINK is not implemented. linkLocation=https://data.zhiyitech.cn/itemDetail/overview/base?itemId=1036211193351, friendlyName=打开知衣</x:v>
      </x:c>
      <x:c r="N1039" s="25" t="e">
        <x:f>HYPERLINK("https://img.alicdn.com/bao/uploaded/i4/358173489/O1CN017v0UNol0G4C2vH2e_!!358173489.jpg","查看主图")</x:f>
        <x:v>HYPERLINK is not implemented. linkLocation=https://img.alicdn.com/bao/uploaded/i4/358173489/O1CN017v0UNol0G4C2vH2e_!!358173489.jpg, friendlyName=查看主图</x:v>
      </x:c>
      <x:c r="O1039" s="9" t="str">
        <x:v>标题及既有类目语义复核；重磅龟裂纹香云纱半身裙；原类目及标题已能确认半身裙；展示使用已知大类，未知裙长下沉到结构字段，不强猜长短。</x:v>
      </x:c>
      <x:c r="P1039" s="9" t="str">
        <x:v>普通男女装</x:v>
      </x:c>
      <x:c r="Q1039" s="9" t="str">
        <x:v>W_SKIRTS_AVGPAID_1500_1600_ANNUAL2026.xlsx</x:v>
      </x:c>
      <x:c r="R1039" s="9" t="str">
        <x:v>默认</x:v>
      </x:c>
      <x:c r="S1039" s="9" t="n">
        <x:v>125</x:v>
      </x:c>
      <x:c r="T1039" s="9" t="str">
        <x:v>deede8b56943df4f914be45dba170f12e69064023d6ef0e88dbde1764f6ba23e</x:v>
      </x:c>
      <x:c r="U1039" s="9" t="str">
        <x:v>W_SKIRTS_AVGPAID_1500_1600_ANNUAL2026</x:v>
      </x:c>
      <x:c r="V1039" s="9" t="str">
        <x:v>W_SKIRTS_AVGPAID_1500_1600_ANNUAL2026.xlsx / 默认 / 第125行 / SHA256 deede8b56943df4f914be45dba170f12e69064023d6ef0e88dbde1764f6ba23e</x:v>
      </x:c>
    </x:row>
    <x:row r="1040" ht="58" customHeight="1">
      <x:c r="A1040" s="23" t="str">
        <x:v>1029273613917</x:v>
      </x:c>
      <x:c r="B1040" s="22"/>
      <x:c r="C1040" s="22"/>
      <x:c r="D1040" s="22"/>
      <x:c r="E1040" s="9" t="str">
        <x:v>裙长未明确</x:v>
      </x:c>
      <x:c r="F1040" s="9" t="str">
        <x:v>裙装</x:v>
      </x:c>
      <x:c r="G1040" s="9" t="str">
        <x:v>半身裙</x:v>
      </x:c>
      <x:c r="H1040" s="9" t="str">
        <x:v>女</x:v>
      </x:c>
      <x:c r="I1040" s="9" t="str">
        <x:v>素然 WHM 26夏女士手工扎染靛蓝染斜纹棉开衩直身长半裙</x:v>
      </x:c>
      <x:c r="J1040" s="9" t="str">
        <x:v>王浩铭</x:v>
      </x:c>
      <x:c r="K1040" s="24" t="n">
        <x:v>1390.76</x:v>
      </x:c>
      <x:c r="L1040" s="25" t="e">
        <x:f>HYPERLINK("https://item.taobao.com/item.htm?id=1029273613917","打开商品")</x:f>
        <x:v>HYPERLINK is not implemented. linkLocation=https://item.taobao.com/item.htm?id=1029273613917, friendlyName=打开商品</x:v>
      </x:c>
      <x:c r="M1040" s="25" t="e">
        <x:f>HYPERLINK("https://data.zhiyitech.cn/itemDetail/overview/base?itemId=1029273613917","打开知衣")</x:f>
        <x:v>HYPERLINK is not implemented. linkLocation=https://data.zhiyitech.cn/itemDetail/overview/base?itemId=1029273613917, friendlyName=打开知衣</x:v>
      </x:c>
      <x:c r="N1040" s="25" t="e">
        <x:f>HYPERLINK("https://img.alicdn.com/bao/uploaded/i1/2185325717/O1CN01HGCYdtNLTpL2R3rs_!!2185325717.jpg","查看主图")</x:f>
        <x:v>HYPERLINK is not implemented. linkLocation=https://img.alicdn.com/bao/uploaded/i1/2185325717/O1CN01HGCYdtNLTpL2R3rs_!!2185325717.jpg, friendlyName=查看主图</x:v>
      </x:c>
      <x:c r="O1040" s="9" t="str">
        <x:v>标题及既有类目语义复核；素然 WHM 26夏女士手工扎染靛蓝染斜纹棉开衩直身长半裙；原类目及标题已能确认半身裙；展示使用已知大类，未知裙长下沉到结构字段，不强猜长短。</x:v>
      </x:c>
      <x:c r="P1040" s="9" t="str">
        <x:v>普通男女装</x:v>
      </x:c>
      <x:c r="Q1040" s="9" t="str">
        <x:v>W_SKIRTS_AVGPAID_1300_1400_ANNUAL2026.xlsx</x:v>
      </x:c>
      <x:c r="R1040" s="9" t="str">
        <x:v>默认</x:v>
      </x:c>
      <x:c r="S1040" s="9" t="n">
        <x:v>377</x:v>
      </x:c>
      <x:c r="T1040" s="9" t="str">
        <x:v>bd4dae1e08e9eca7ddd0669235bf59107cdc418b9c2898fc16f36a7ab5748692</x:v>
      </x:c>
      <x:c r="U1040" s="9" t="str">
        <x:v>W_SKIRTS_AVGPAID_1300_1400_ANNUAL2026</x:v>
      </x:c>
      <x:c r="V1040" s="9" t="str">
        <x:v>W_SKIRTS_AVGPAID_1300_1400_ANNUAL2026.xlsx / 默认 / 第377行 / SHA256 bd4dae1e08e9eca7ddd0669235bf59107cdc418b9c2898fc16f36a7ab5748692</x:v>
      </x:c>
    </x:row>
    <x:row r="1041" ht="58" customHeight="1">
      <x:c r="A1041" s="23" t="str">
        <x:v>1038158756688</x:v>
      </x:c>
      <x:c r="B1041" s="22"/>
      <x:c r="C1041" s="22"/>
      <x:c r="D1041" s="22"/>
      <x:c r="E1041" s="9" t="str">
        <x:v>裙长未明确</x:v>
      </x:c>
      <x:c r="F1041" s="9" t="str">
        <x:v>裙装</x:v>
      </x:c>
      <x:c r="G1041" s="9" t="str">
        <x:v>半身裙</x:v>
      </x:c>
      <x:c r="H1041" s="9" t="str">
        <x:v>女</x:v>
      </x:c>
      <x:c r="I1041" s="9" t="str">
        <x:v>WHM女士印花薄针织布抽褶半裙</x:v>
      </x:c>
      <x:c r="J1041" s="9" t="str">
        <x:v>王浩铭</x:v>
      </x:c>
      <x:c r="K1041" s="24" t="n">
        <x:v>1599.37</x:v>
      </x:c>
      <x:c r="L1041" s="25" t="e">
        <x:f>HYPERLINK("https://item.taobao.com/item.htm?id=1038158756688","打开商品")</x:f>
        <x:v>HYPERLINK is not implemented. linkLocation=https://item.taobao.com/item.htm?id=1038158756688, friendlyName=打开商品</x:v>
      </x:c>
      <x:c r="M1041" s="25" t="e">
        <x:f>HYPERLINK("https://data.zhiyitech.cn/itemDetail/overview/base?itemId=1038158756688","打开知衣")</x:f>
        <x:v>HYPERLINK is not implemented. linkLocation=https://data.zhiyitech.cn/itemDetail/overview/base?itemId=1038158756688, friendlyName=打开知衣</x:v>
      </x:c>
      <x:c r="N1041" s="25" t="e">
        <x:f>HYPERLINK("https://img.alicdn.com/bao/uploaded/i3/2185325717/O1CN01VkPpwo1s6RRqJmnhd_!!4611686018427382933-0-item_pic.jpg","查看主图")</x:f>
        <x:v>HYPERLINK is not implemented. linkLocation=https://img.alicdn.com/bao/uploaded/i3/2185325717/O1CN01VkPpwo1s6RRqJmnhd_!!4611686018427382933-0-item_pic.jpg, friendlyName=查看主图</x:v>
      </x:c>
      <x:c r="O1041" s="9" t="str">
        <x:v>标题及既有类目语义复核；WHM女士印花薄针织布抽褶半裙；原类目及标题已能确认半身裙；展示使用已知大类，未知裙长下沉到结构字段，不强猜长短。</x:v>
      </x:c>
      <x:c r="P1041" s="9" t="str">
        <x:v>普通男女装</x:v>
      </x:c>
      <x:c r="Q1041" s="9" t="str">
        <x:v>W_SKIRTS_AVGPAID_1500_1600_ANNUAL2026.xlsx</x:v>
      </x:c>
      <x:c r="R1041" s="9" t="str">
        <x:v>默认</x:v>
      </x:c>
      <x:c r="S1041" s="9" t="n">
        <x:v>62</x:v>
      </x:c>
      <x:c r="T1041" s="9" t="str">
        <x:v>deede8b56943df4f914be45dba170f12e69064023d6ef0e88dbde1764f6ba23e</x:v>
      </x:c>
      <x:c r="U1041" s="9" t="str">
        <x:v>W_SKIRTS_AVGPAID_1500_1600_ANNUAL2026</x:v>
      </x:c>
      <x:c r="V1041" s="9" t="str">
        <x:v>W_SKIRTS_AVGPAID_1500_1600_ANNUAL2026.xlsx / 默认 / 第62行 / SHA256 deede8b56943df4f914be45dba170f12e69064023d6ef0e88dbde1764f6ba23e</x:v>
      </x:c>
    </x:row>
    <x:row r="1042" ht="58" customHeight="1">
      <x:c r="A1042" s="23" t="str">
        <x:v>1069183020984</x:v>
      </x:c>
      <x:c r="B1042" s="22"/>
      <x:c r="C1042" s="22"/>
      <x:c r="D1042" s="22"/>
      <x:c r="E1042" s="9" t="str">
        <x:v>裙长未明确</x:v>
      </x:c>
      <x:c r="F1042" s="9" t="str">
        <x:v>裙装</x:v>
      </x:c>
      <x:c r="G1042" s="9" t="str">
        <x:v>半身裙</x:v>
      </x:c>
      <x:c r="H1042" s="9" t="str">
        <x:v>女</x:v>
      </x:c>
      <x:c r="I1042" s="9" t="str">
        <x:v>【新品】素然 WHM 26秋女士通勤气质垂感灯芯绒半松紧腰A型长半裙</x:v>
      </x:c>
      <x:c r="J1042" s="9" t="str">
        <x:v>王浩铭</x:v>
      </x:c>
      <x:c r="K1042" s="24" t="n">
        <x:v>1366.25</x:v>
      </x:c>
      <x:c r="L1042" s="25" t="e">
        <x:f>HYPERLINK("https://item.taobao.com/item.htm?id=1069183020984","打开商品")</x:f>
        <x:v>HYPERLINK is not implemented. linkLocation=https://item.taobao.com/item.htm?id=1069183020984, friendlyName=打开商品</x:v>
      </x:c>
      <x:c r="M1042" s="25" t="e">
        <x:f>HYPERLINK("https://data.zhiyitech.cn/itemDetail/overview/base?itemId=1069183020984","打开知衣")</x:f>
        <x:v>HYPERLINK is not implemented. linkLocation=https://data.zhiyitech.cn/itemDetail/overview/base?itemId=1069183020984, friendlyName=打开知衣</x:v>
      </x:c>
      <x:c r="N1042" s="25" t="e">
        <x:f>HYPERLINK("https://img.alicdn.com/bao/uploaded/i4/2185325717/O1CN018UGXjuc5bJF2R3rs_!!2185325717.jpg","查看主图")</x:f>
        <x:v>HYPERLINK is not implemented. linkLocation=https://img.alicdn.com/bao/uploaded/i4/2185325717/O1CN018UGXjuc5bJF2R3rs_!!2185325717.jpg, friendlyName=查看主图</x:v>
      </x:c>
      <x:c r="O1042" s="9" t="str">
        <x:v>标题及既有类目语义复核；【新品】素然 WHM 26秋女士通勤气质垂感灯芯绒半松紧腰A型长半裙；原类目及标题已能确认半身裙；展示使用已知大类，未知裙长下沉到结构字段，不强猜长短。</x:v>
      </x:c>
      <x:c r="P1042" s="9" t="str">
        <x:v>普通男女装</x:v>
      </x:c>
      <x:c r="Q1042" s="9" t="str">
        <x:v>W_SKIRTS_AVGPAID_1300_1400_ANNUAL2026.xlsx</x:v>
      </x:c>
      <x:c r="R1042" s="9" t="str">
        <x:v>默认</x:v>
      </x:c>
      <x:c r="S1042" s="9" t="n">
        <x:v>207</x:v>
      </x:c>
      <x:c r="T1042" s="9" t="str">
        <x:v>bd4dae1e08e9eca7ddd0669235bf59107cdc418b9c2898fc16f36a7ab5748692</x:v>
      </x:c>
      <x:c r="U1042" s="9" t="str">
        <x:v>W_SKIRTS_AVGPAID_1300_1400_ANNUAL2026</x:v>
      </x:c>
      <x:c r="V1042" s="9" t="str">
        <x:v>W_SKIRTS_AVGPAID_1300_1400_ANNUAL2026.xlsx / 默认 / 第207行 / SHA256 bd4dae1e08e9eca7ddd0669235bf59107cdc418b9c2898fc16f36a7ab5748692</x:v>
      </x:c>
    </x:row>
    <x:row r="1043" ht="58" customHeight="1">
      <x:c r="A1043" s="23" t="str">
        <x:v>867727916300</x:v>
      </x:c>
      <x:c r="B1043" s="22"/>
      <x:c r="C1043" s="22"/>
      <x:c r="D1043" s="22"/>
      <x:c r="E1043" s="9" t="str">
        <x:v>裙长未明确</x:v>
      </x:c>
      <x:c r="F1043" s="9" t="str">
        <x:v>裙装</x:v>
      </x:c>
      <x:c r="G1043" s="9" t="str">
        <x:v>半身裙</x:v>
      </x:c>
      <x:c r="H1043" s="9" t="str">
        <x:v>女</x:v>
      </x:c>
      <x:c r="I1043" s="9" t="str">
        <x:v>素然WHM 春季女士气质设计感环保棉平纹牛仔喇叭半裙</x:v>
      </x:c>
      <x:c r="J1043" s="9" t="str">
        <x:v>王浩铭</x:v>
      </x:c>
      <x:c r="K1043" s="24" t="n">
        <x:v>1311.69</x:v>
      </x:c>
      <x:c r="L1043" s="25" t="e">
        <x:f>HYPERLINK("https://item.taobao.com/item.htm?id=867727916300","打开商品")</x:f>
        <x:v>HYPERLINK is not implemented. linkLocation=https://item.taobao.com/item.htm?id=867727916300, friendlyName=打开商品</x:v>
      </x:c>
      <x:c r="M1043" s="25" t="e">
        <x:f>HYPERLINK("https://data.zhiyitech.cn/itemDetail/overview/base?itemId=867727916300","打开知衣")</x:f>
        <x:v>HYPERLINK is not implemented. linkLocation=https://data.zhiyitech.cn/itemDetail/overview/base?itemId=867727916300, friendlyName=打开知衣</x:v>
      </x:c>
      <x:c r="N1043" s="25" t="e">
        <x:f>HYPERLINK("https://img.alicdn.com/bao/uploaded/i1/2185325717/O1CN01fG4xsTvb2RD1chua_!!2185325717.jpg","查看主图")</x:f>
        <x:v>HYPERLINK is not implemented. linkLocation=https://img.alicdn.com/bao/uploaded/i1/2185325717/O1CN01fG4xsTvb2RD1chua_!!2185325717.jpg, friendlyName=查看主图</x:v>
      </x:c>
      <x:c r="O1043" s="9" t="str">
        <x:v>标题及既有类目语义复核；素然WHM 春季女士气质设计感环保棉平纹牛仔喇叭半裙；原类目及标题已能确认半身裙；展示使用已知大类，未知裙长下沉到结构字段，不强猜长短。</x:v>
      </x:c>
      <x:c r="P1043" s="9" t="str">
        <x:v>普通男女装</x:v>
      </x:c>
      <x:c r="Q1043" s="9" t="str">
        <x:v>W_SKIRTS_AVGPAID_1300_1400_ANNUAL2026.xlsx</x:v>
      </x:c>
      <x:c r="R1043" s="9" t="str">
        <x:v>默认</x:v>
      </x:c>
      <x:c r="S1043" s="9" t="n">
        <x:v>227</x:v>
      </x:c>
      <x:c r="T1043" s="9" t="str">
        <x:v>bd4dae1e08e9eca7ddd0669235bf59107cdc418b9c2898fc16f36a7ab5748692</x:v>
      </x:c>
      <x:c r="U1043" s="9" t="str">
        <x:v>W_SKIRTS_AVGPAID_1300_1400_ANNUAL2026</x:v>
      </x:c>
      <x:c r="V1043" s="9" t="str">
        <x:v>W_SKIRTS_AVGPAID_1300_1400_ANNUAL2026.xlsx / 默认 / 第227行 / SHA256 bd4dae1e08e9eca7ddd0669235bf59107cdc418b9c2898fc16f36a7ab5748692</x:v>
      </x:c>
    </x:row>
    <x:row r="1044" ht="58" customHeight="1">
      <x:c r="A1044" s="23" t="str">
        <x:v>895741913489</x:v>
      </x:c>
      <x:c r="B1044" s="22"/>
      <x:c r="C1044" s="22"/>
      <x:c r="D1044" s="22"/>
      <x:c r="E1044" s="9" t="str">
        <x:v>裙长未明确</x:v>
      </x:c>
      <x:c r="F1044" s="9" t="str">
        <x:v>裙装</x:v>
      </x:c>
      <x:c r="G1044" s="9" t="str">
        <x:v>半身裙</x:v>
      </x:c>
      <x:c r="H1044" s="9" t="str">
        <x:v>女</x:v>
      </x:c>
      <x:c r="I1044" s="9" t="str">
        <x:v>WHM气质平纹亚麻褶裥搭片半裙</x:v>
      </x:c>
      <x:c r="J1044" s="9" t="str">
        <x:v>王浩铭</x:v>
      </x:c>
      <x:c r="K1044" s="24" t="n">
        <x:v>1396.18</x:v>
      </x:c>
      <x:c r="L1044" s="25" t="e">
        <x:f>HYPERLINK("https://item.taobao.com/item.htm?id=895741913489","打开商品")</x:f>
        <x:v>HYPERLINK is not implemented. linkLocation=https://item.taobao.com/item.htm?id=895741913489, friendlyName=打开商品</x:v>
      </x:c>
      <x:c r="M1044" s="25" t="e">
        <x:f>HYPERLINK("https://data.zhiyitech.cn/itemDetail/overview/base?itemId=895741913489","打开知衣")</x:f>
        <x:v>HYPERLINK is not implemented. linkLocation=https://data.zhiyitech.cn/itemDetail/overview/base?itemId=895741913489, friendlyName=打开知衣</x:v>
      </x:c>
      <x:c r="N1044" s="25" t="e">
        <x:f>HYPERLINK("https://img.alicdn.com/bao/uploaded/i4/2185325717/O1CN01iua1q1mfwgB1chua_!!2185325717.jpg","查看主图")</x:f>
        <x:v>HYPERLINK is not implemented. linkLocation=https://img.alicdn.com/bao/uploaded/i4/2185325717/O1CN01iua1q1mfwgB1chua_!!2185325717.jpg, friendlyName=查看主图</x:v>
      </x:c>
      <x:c r="O1044" s="9" t="str">
        <x:v>标题及既有类目语义复核；WHM气质平纹亚麻褶裥搭片半裙；原类目及标题已能确认半身裙；展示使用已知大类，未知裙长下沉到结构字段，不强猜长短。</x:v>
      </x:c>
      <x:c r="P1044" s="9" t="str">
        <x:v>普通男女装</x:v>
      </x:c>
      <x:c r="Q1044" s="9" t="str">
        <x:v>W_SKIRTS_AVGPAID_1300_1400_ANNUAL2026.xlsx</x:v>
      </x:c>
      <x:c r="R1044" s="9" t="str">
        <x:v>默认</x:v>
      </x:c>
      <x:c r="S1044" s="9" t="n">
        <x:v>347</x:v>
      </x:c>
      <x:c r="T1044" s="9" t="str">
        <x:v>bd4dae1e08e9eca7ddd0669235bf59107cdc418b9c2898fc16f36a7ab5748692</x:v>
      </x:c>
      <x:c r="U1044" s="9" t="str">
        <x:v>W_SKIRTS_AVGPAID_1300_1400_ANNUAL2026</x:v>
      </x:c>
      <x:c r="V1044" s="9" t="str">
        <x:v>W_SKIRTS_AVGPAID_1300_1400_ANNUAL2026.xlsx / 默认 / 第347行 / SHA256 bd4dae1e08e9eca7ddd0669235bf59107cdc418b9c2898fc16f36a7ab5748692</x:v>
      </x:c>
    </x:row>
    <x:row r="1045" ht="58" customHeight="1">
      <x:c r="A1045" s="23" t="str">
        <x:v>944241833135</x:v>
      </x:c>
      <x:c r="B1045" s="22"/>
      <x:c r="C1045" s="22"/>
      <x:c r="D1045" s="22"/>
      <x:c r="E1045" s="9" t="str">
        <x:v>裙长未明确</x:v>
      </x:c>
      <x:c r="F1045" s="9" t="str">
        <x:v>裙装</x:v>
      </x:c>
      <x:c r="G1045" s="9" t="str">
        <x:v>半身裙</x:v>
      </x:c>
      <x:c r="H1045" s="9" t="str">
        <x:v>女</x:v>
      </x:c>
      <x:c r="I1045" s="9" t="str">
        <x:v>WHM纹理尼龙布褶裥半裙</x:v>
      </x:c>
      <x:c r="J1045" s="9" t="str">
        <x:v>王浩铭</x:v>
      </x:c>
      <x:c r="K1045" s="24" t="n">
        <x:v>1393.41</x:v>
      </x:c>
      <x:c r="L1045" s="25" t="e">
        <x:f>HYPERLINK("https://item.taobao.com/item.htm?id=944241833135","打开商品")</x:f>
        <x:v>HYPERLINK is not implemented. linkLocation=https://item.taobao.com/item.htm?id=944241833135, friendlyName=打开商品</x:v>
      </x:c>
      <x:c r="M1045" s="25" t="e">
        <x:f>HYPERLINK("https://data.zhiyitech.cn/itemDetail/overview/base?itemId=944241833135","打开知衣")</x:f>
        <x:v>HYPERLINK is not implemented. linkLocation=https://data.zhiyitech.cn/itemDetail/overview/base?itemId=944241833135, friendlyName=打开知衣</x:v>
      </x:c>
      <x:c r="N1045" s="25" t="e">
        <x:f>HYPERLINK("https://img.alicdn.com/bao/uploaded/i2/2185325717/O1CN01FCm9gJoLIcC1chua_!!2185325717.jpg","查看主图")</x:f>
        <x:v>HYPERLINK is not implemented. linkLocation=https://img.alicdn.com/bao/uploaded/i2/2185325717/O1CN01FCm9gJoLIcC1chua_!!2185325717.jpg, friendlyName=查看主图</x:v>
      </x:c>
      <x:c r="O1045" s="9" t="str">
        <x:v>标题及既有类目语义复核；WHM纹理尼龙布褶裥半裙；原类目及标题已能确认半身裙；展示使用已知大类，未知裙长下沉到结构字段，不强猜长短。</x:v>
      </x:c>
      <x:c r="P1045" s="9" t="str">
        <x:v>普通男女装</x:v>
      </x:c>
      <x:c r="Q1045" s="9" t="str">
        <x:v>W_SKIRTS_AVGPAID_1300_1400_ANNUAL2026.xlsx</x:v>
      </x:c>
      <x:c r="R1045" s="9" t="str">
        <x:v>默认</x:v>
      </x:c>
      <x:c r="S1045" s="9" t="n">
        <x:v>349</x:v>
      </x:c>
      <x:c r="T1045" s="9" t="str">
        <x:v>bd4dae1e08e9eca7ddd0669235bf59107cdc418b9c2898fc16f36a7ab5748692</x:v>
      </x:c>
      <x:c r="U1045" s="9" t="str">
        <x:v>W_SKIRTS_AVGPAID_1300_1400_ANNUAL2026</x:v>
      </x:c>
      <x:c r="V1045" s="9" t="str">
        <x:v>W_SKIRTS_AVGPAID_1300_1400_ANNUAL2026.xlsx / 默认 / 第349行 / SHA256 bd4dae1e08e9eca7ddd0669235bf59107cdc418b9c2898fc16f36a7ab5748692</x:v>
      </x:c>
    </x:row>
    <x:row r="1046" ht="58" customHeight="1">
      <x:c r="A1046" s="23" t="str">
        <x:v>671772192117</x:v>
      </x:c>
      <x:c r="B1046" s="22"/>
      <x:c r="C1046" s="22"/>
      <x:c r="D1046" s="22"/>
      <x:c r="E1046" s="9" t="str">
        <x:v>裙长未明确</x:v>
      </x:c>
      <x:c r="F1046" s="9" t="str">
        <x:v>裙装</x:v>
      </x:c>
      <x:c r="G1046" s="9" t="str">
        <x:v>半身裙</x:v>
      </x:c>
      <x:c r="H1046" s="9" t="str">
        <x:v>女</x:v>
      </x:c>
      <x:c r="I1046" s="9" t="str">
        <x:v>玺玥香云纱重工刺绣马面裙半身裙</x:v>
      </x:c>
      <x:c r="J1046" s="9" t="str">
        <x:v>玺玥</x:v>
      </x:c>
      <x:c r="K1046" s="24" t="n">
        <x:v>1549.29</x:v>
      </x:c>
      <x:c r="L1046" s="25" t="e">
        <x:f>HYPERLINK("https://item.taobao.com/item.htm?id=671772192117","打开商品")</x:f>
        <x:v>HYPERLINK is not implemented. linkLocation=https://item.taobao.com/item.htm?id=671772192117, friendlyName=打开商品</x:v>
      </x:c>
      <x:c r="M1046" s="25" t="e">
        <x:f>HYPERLINK("https://data.zhiyitech.cn/itemDetail/overview/base?itemId=671772192117","打开知衣")</x:f>
        <x:v>HYPERLINK is not implemented. linkLocation=https://data.zhiyitech.cn/itemDetail/overview/base?itemId=671772192117, friendlyName=打开知衣</x:v>
      </x:c>
      <x:c r="N1046" s="25" t="e">
        <x:f>HYPERLINK("https://img.alicdn.com/bao/uploaded/i1/1057266561/O1CN01OpqMdV1yKzKiaevVq_!!0-item_pic.jpg","查看主图")</x:f>
        <x:v>HYPERLINK is not implemented. linkLocation=https://img.alicdn.com/bao/uploaded/i1/1057266561/O1CN01OpqMdV1yKzKiaevVq_!!0-item_pic.jpg, friendlyName=查看主图</x:v>
      </x:c>
      <x:c r="O1046" s="9" t="str">
        <x:v>标题及既有类目语义复核；玺玥香云纱重工刺绣马面裙半身裙；原类目及标题已能确认半身裙；展示使用已知大类，未知裙长下沉到结构字段，不强猜长短。</x:v>
      </x:c>
      <x:c r="P1046" s="9" t="str">
        <x:v>普通男女装</x:v>
      </x:c>
      <x:c r="Q1046" s="9" t="str">
        <x:v>W_SKIRTS_AVGPAID_1500_1600_ANNUAL2026.xlsx</x:v>
      </x:c>
      <x:c r="R1046" s="9" t="str">
        <x:v>默认</x:v>
      </x:c>
      <x:c r="S1046" s="9" t="n">
        <x:v>317</x:v>
      </x:c>
      <x:c r="T1046" s="9" t="str">
        <x:v>deede8b56943df4f914be45dba170f12e69064023d6ef0e88dbde1764f6ba23e</x:v>
      </x:c>
      <x:c r="U1046" s="9" t="str">
        <x:v>W_SKIRTS_AVGPAID_1500_1600_ANNUAL2026</x:v>
      </x:c>
      <x:c r="V1046" s="9" t="str">
        <x:v>W_SKIRTS_AVGPAID_1500_1600_ANNUAL2026.xlsx / 默认 / 第317行 / SHA256 deede8b56943df4f914be45dba170f12e69064023d6ef0e88dbde1764f6ba23e</x:v>
      </x:c>
    </x:row>
    <x:row r="1047" ht="58" customHeight="1">
      <x:c r="A1047" s="23" t="str">
        <x:v>922895745223</x:v>
      </x:c>
      <x:c r="B1047" s="22"/>
      <x:c r="C1047" s="22"/>
      <x:c r="D1047" s="22"/>
      <x:c r="E1047" s="9" t="str">
        <x:v>裙长未明确</x:v>
      </x:c>
      <x:c r="F1047" s="9" t="str">
        <x:v>裙装</x:v>
      </x:c>
      <x:c r="G1047" s="9" t="str">
        <x:v>半身裙</x:v>
      </x:c>
      <x:c r="H1047" s="9" t="str">
        <x:v>女</x:v>
      </x:c>
      <x:c r="I1047" s="9" t="str">
        <x:v>玺玥中国风重工龟纹香云纱马面裙高端桑蚕丝古典八面刺绣半身裙夏</x:v>
      </x:c>
      <x:c r="J1047" s="9" t="str">
        <x:v>玺玥</x:v>
      </x:c>
      <x:c r="K1047" s="24" t="n">
        <x:v>1794.12</x:v>
      </x:c>
      <x:c r="L1047" s="25" t="e">
        <x:f>HYPERLINK("https://item.taobao.com/item.htm?id=922895745223","打开商品")</x:f>
        <x:v>HYPERLINK is not implemented. linkLocation=https://item.taobao.com/item.htm?id=922895745223, friendlyName=打开商品</x:v>
      </x:c>
      <x:c r="M1047" s="25" t="e">
        <x:f>HYPERLINK("https://data.zhiyitech.cn/itemDetail/overview/base?itemId=922895745223","打开知衣")</x:f>
        <x:v>HYPERLINK is not implemented. linkLocation=https://data.zhiyitech.cn/itemDetail/overview/base?itemId=922895745223, friendlyName=打开知衣</x:v>
      </x:c>
      <x:c r="N1047" s="25" t="e">
        <x:f>HYPERLINK("https://img.alicdn.com/bao/uploaded/i2/1057266561/O1CN01Ux6tHw1yKzduPBJWU_!!4611686018427386753-0-item_pic.jpg","查看主图")</x:f>
        <x:v>HYPERLINK is not implemented. linkLocation=https://img.alicdn.com/bao/uploaded/i2/1057266561/O1CN01Ux6tHw1yKzduPBJWU_!!4611686018427386753-0-item_pic.jpg, friendlyName=查看主图</x:v>
      </x:c>
      <x:c r="O1047" s="9" t="str">
        <x:v>标题及既有类目语义复核；玺玥中国风重工龟纹香云纱马面裙高端桑蚕丝古典八面刺绣半身裙夏；原类目及标题已能确认半身裙；展示使用已知大类，未知裙长下沉到结构字段，不强猜长短。</x:v>
      </x:c>
      <x:c r="P1047" s="9" t="str">
        <x:v>普通男女装</x:v>
      </x:c>
      <x:c r="Q1047" s="9" t="str">
        <x:v>W_SKIRTS_AVGPAID_1700_1800_ANNUAL2026.xlsx</x:v>
      </x:c>
      <x:c r="R1047" s="9" t="str">
        <x:v>默认</x:v>
      </x:c>
      <x:c r="S1047" s="9" t="n">
        <x:v>478</x:v>
      </x:c>
      <x:c r="T1047" s="9" t="str">
        <x:v>c25ed77c53c7c5cfcf728778a0e9b297d8689503f62756a939cbd534ca9b587a</x:v>
      </x:c>
      <x:c r="U1047" s="9" t="str">
        <x:v>W_SKIRTS_AVGPAID_1700_1800_ANNUAL2026</x:v>
      </x:c>
      <x:c r="V1047" s="9" t="str">
        <x:v>W_SKIRTS_AVGPAID_1700_1800_ANNUAL2026.xlsx / 默认 / 第478行 / SHA256 c25ed77c53c7c5cfcf728778a0e9b297d8689503f62756a939cbd534ca9b587a</x:v>
      </x:c>
    </x:row>
    <x:row r="1048" ht="58" customHeight="1">
      <x:c r="A1048" s="23" t="str">
        <x:v>825709676703</x:v>
      </x:c>
      <x:c r="B1048" s="22"/>
      <x:c r="C1048" s="22"/>
      <x:c r="D1048" s="22"/>
      <x:c r="E1048" s="9" t="str">
        <x:v>裙长未明确</x:v>
      </x:c>
      <x:c r="F1048" s="9" t="str">
        <x:v>裙装</x:v>
      </x:c>
      <x:c r="G1048" s="9" t="str">
        <x:v>半身裙</x:v>
      </x:c>
      <x:c r="H1048" s="9" t="str">
        <x:v>女</x:v>
      </x:c>
      <x:c r="I1048" s="9" t="str">
        <x:v>糖心旦TANGXINDAN唇脂 粉色缎面图腾提花新中式半身裙温柔柔雾粉</x:v>
      </x:c>
      <x:c r="J1048" s="9" t="str">
        <x:v>糖心旦</x:v>
      </x:c>
      <x:c r="K1048" s="24" t="n">
        <x:v>1762.66</x:v>
      </x:c>
      <x:c r="L1048" s="25" t="e">
        <x:f>HYPERLINK("https://item.taobao.com/item.htm?id=825709676703","打开商品")</x:f>
        <x:v>HYPERLINK is not implemented. linkLocation=https://item.taobao.com/item.htm?id=825709676703, friendlyName=打开商品</x:v>
      </x:c>
      <x:c r="M1048" s="25" t="e">
        <x:f>HYPERLINK("https://data.zhiyitech.cn/itemDetail/overview/base?itemId=825709676703","打开知衣")</x:f>
        <x:v>HYPERLINK is not implemented. linkLocation=https://data.zhiyitech.cn/itemDetail/overview/base?itemId=825709676703, friendlyName=打开知衣</x:v>
      </x:c>
      <x:c r="N1048" s="25" t="e">
        <x:f>HYPERLINK("https://img.alicdn.com/bao/uploaded/i4/2217705702402/O1CN01BacITE1TcAKfqI8v5_!!0-item_pic.jpg","查看主图")</x:f>
        <x:v>HYPERLINK is not implemented. linkLocation=https://img.alicdn.com/bao/uploaded/i4/2217705702402/O1CN01BacITE1TcAKfqI8v5_!!0-item_pic.jpg, friendlyName=查看主图</x:v>
      </x:c>
      <x:c r="O1048" s="9" t="str">
        <x:v>标题及既有类目语义复核；糖心旦TANGXINDAN唇脂 粉色缎面图腾提花新中式半身裙温柔柔雾粉；原类目及标题已能确认半身裙；展示使用已知大类，未知裙长下沉到结构字段，不强猜长短。</x:v>
      </x:c>
      <x:c r="P1048" s="9" t="str">
        <x:v>普通男女装</x:v>
      </x:c>
      <x:c r="Q1048" s="9" t="str">
        <x:v>W_SKIRTS_AVGPAID_1700_1800_ANNUAL2026.xlsx</x:v>
      </x:c>
      <x:c r="R1048" s="9" t="str">
        <x:v>默认</x:v>
      </x:c>
      <x:c r="S1048" s="9" t="n">
        <x:v>312</x:v>
      </x:c>
      <x:c r="T1048" s="9" t="str">
        <x:v>c25ed77c53c7c5cfcf728778a0e9b297d8689503f62756a939cbd534ca9b587a</x:v>
      </x:c>
      <x:c r="U1048" s="9" t="str">
        <x:v>W_SKIRTS_AVGPAID_1700_1800_ANNUAL2026</x:v>
      </x:c>
      <x:c r="V1048" s="9" t="str">
        <x:v>W_SKIRTS_AVGPAID_1700_1800_ANNUAL2026.xlsx / 默认 / 第312行 / SHA256 c25ed77c53c7c5cfcf728778a0e9b297d8689503f62756a939cbd534ca9b587a</x:v>
      </x:c>
    </x:row>
    <x:row r="1049" ht="58" customHeight="1">
      <x:c r="A1049" s="23" t="str">
        <x:v>908142315842</x:v>
      </x:c>
      <x:c r="B1049" s="22"/>
      <x:c r="C1049" s="22"/>
      <x:c r="D1049" s="22"/>
      <x:c r="E1049" s="9" t="str">
        <x:v>裙长未明确</x:v>
      </x:c>
      <x:c r="F1049" s="9" t="str">
        <x:v>裙装</x:v>
      </x:c>
      <x:c r="G1049" s="9" t="str">
        <x:v>半身裙</x:v>
      </x:c>
      <x:c r="H1049" s="9" t="str">
        <x:v>女</x:v>
      </x:c>
      <x:c r="I1049" s="9" t="str">
        <x:v>糖心旦夏花 明黄印花半身裙</x:v>
      </x:c>
      <x:c r="J1049" s="9" t="str">
        <x:v>糖心旦</x:v>
      </x:c>
      <x:c r="K1049" s="24" t="n">
        <x:v>1737.91</x:v>
      </x:c>
      <x:c r="L1049" s="25" t="e">
        <x:f>HYPERLINK("https://item.taobao.com/item.htm?id=908142315842","打开商品")</x:f>
        <x:v>HYPERLINK is not implemented. linkLocation=https://item.taobao.com/item.htm?id=908142315842, friendlyName=打开商品</x:v>
      </x:c>
      <x:c r="M1049" s="25" t="e">
        <x:f>HYPERLINK("https://data.zhiyitech.cn/itemDetail/overview/base?itemId=908142315842","打开知衣")</x:f>
        <x:v>HYPERLINK is not implemented. linkLocation=https://data.zhiyitech.cn/itemDetail/overview/base?itemId=908142315842, friendlyName=打开知衣</x:v>
      </x:c>
      <x:c r="N1049" s="25" t="e">
        <x:f>HYPERLINK("https://img.alicdn.com/bao/uploaded/i4/2217705702402/O1CN01UpjoRd1TcAV4jXmON_!!4611686018427380738-0-item_pic.jpg","查看主图")</x:f>
        <x:v>HYPERLINK is not implemented. linkLocation=https://img.alicdn.com/bao/uploaded/i4/2217705702402/O1CN01UpjoRd1TcAV4jXmON_!!4611686018427380738-0-item_pic.jpg, friendlyName=查看主图</x:v>
      </x:c>
      <x:c r="O1049" s="9" t="str">
        <x:v>标题及既有类目语义复核；糖心旦夏花 明黄印花半身裙；原类目及标题已能确认半身裙；展示使用已知大类，未知裙长下沉到结构字段，不强猜长短。</x:v>
      </x:c>
      <x:c r="P1049" s="9" t="str">
        <x:v>普通男女装</x:v>
      </x:c>
      <x:c r="Q1049" s="9" t="str">
        <x:v>W_SKIRTS_AVGPAID_1700_1800_ANNUAL2026.xlsx</x:v>
      </x:c>
      <x:c r="R1049" s="9" t="str">
        <x:v>默认</x:v>
      </x:c>
      <x:c r="S1049" s="9" t="n">
        <x:v>317</x:v>
      </x:c>
      <x:c r="T1049" s="9" t="str">
        <x:v>c25ed77c53c7c5cfcf728778a0e9b297d8689503f62756a939cbd534ca9b587a</x:v>
      </x:c>
      <x:c r="U1049" s="9" t="str">
        <x:v>W_SKIRTS_AVGPAID_1700_1800_ANNUAL2026</x:v>
      </x:c>
      <x:c r="V1049" s="9" t="str">
        <x:v>W_SKIRTS_AVGPAID_1700_1800_ANNUAL2026.xlsx / 默认 / 第317行 / SHA256 c25ed77c53c7c5cfcf728778a0e9b297d8689503f62756a939cbd534ca9b587a</x:v>
      </x:c>
    </x:row>
    <x:row r="1050" ht="58" customHeight="1">
      <x:c r="A1050" s="23" t="str">
        <x:v>1053872350275</x:v>
      </x:c>
      <x:c r="B1050" s="22"/>
      <x:c r="C1050" s="22"/>
      <x:c r="D1050" s="22"/>
      <x:c r="E1050" s="9" t="str">
        <x:v>裙长未明确</x:v>
      </x:c>
      <x:c r="F1050" s="9" t="str">
        <x:v>裙装</x:v>
      </x:c>
      <x:c r="G1050" s="9" t="str">
        <x:v>半身裙</x:v>
      </x:c>
      <x:c r="H1050" s="9" t="str">
        <x:v>女</x:v>
      </x:c>
      <x:c r="I1050" s="9" t="str">
        <x:v>【萱草裙】致知 远朝归 重工大裙摆绣花度假感蛋糕裙女2026夏新款</x:v>
      </x:c>
      <x:c r="J1050" s="9" t="str">
        <x:v>致知</x:v>
      </x:c>
      <x:c r="K1050" s="24" t="n">
        <x:v>1344.78</x:v>
      </x:c>
      <x:c r="L1050" s="25" t="e">
        <x:f>HYPERLINK("https://item.taobao.com/item.htm?id=1053872350275","打开商品")</x:f>
        <x:v>HYPERLINK is not implemented. linkLocation=https://item.taobao.com/item.htm?id=1053872350275, friendlyName=打开商品</x:v>
      </x:c>
      <x:c r="M1050" s="25" t="e">
        <x:f>HYPERLINK("https://data.zhiyitech.cn/itemDetail/overview/base?itemId=1053872350275","打开知衣")</x:f>
        <x:v>HYPERLINK is not implemented. linkLocation=https://data.zhiyitech.cn/itemDetail/overview/base?itemId=1053872350275, friendlyName=打开知衣</x:v>
      </x:c>
      <x:c r="N1050" s="25" t="e">
        <x:f>HYPERLINK("https://img.alicdn.com/bao/uploaded/i4/3897100430/O1CN01JMudEmQvDxK1chua-3897100430.jpg","查看主图")</x:f>
        <x:v>HYPERLINK is not implemented. linkLocation=https://img.alicdn.com/bao/uploaded/i4/3897100430/O1CN01JMudEmQvDxK1chua-3897100430.jpg, friendlyName=查看主图</x:v>
      </x:c>
      <x:c r="O1050" s="9" t="str">
        <x:v>标题及既有类目语义复核；【萱草裙】致知 远朝归 重工大裙摆绣花度假感蛋糕裙女2026夏新款；原类目及标题已能确认半身裙；展示使用已知大类，未知裙长下沉到结构字段，不强猜长短。</x:v>
      </x:c>
      <x:c r="P1050" s="9" t="str">
        <x:v>普通男女装</x:v>
      </x:c>
      <x:c r="Q1050" s="9" t="str">
        <x:v>W_SKIRTS_AVGPAID_1300_1400_ANNUAL2026.xlsx</x:v>
      </x:c>
      <x:c r="R1050" s="9" t="str">
        <x:v>默认</x:v>
      </x:c>
      <x:c r="S1050" s="9" t="n">
        <x:v>105</x:v>
      </x:c>
      <x:c r="T1050" s="9" t="str">
        <x:v>bd4dae1e08e9eca7ddd0669235bf59107cdc418b9c2898fc16f36a7ab5748692</x:v>
      </x:c>
      <x:c r="U1050" s="9" t="str">
        <x:v>W_SKIRTS_AVGPAID_1300_1400_ANNUAL2026</x:v>
      </x:c>
      <x:c r="V1050" s="9" t="str">
        <x:v>W_SKIRTS_AVGPAID_1300_1400_ANNUAL2026.xlsx / 默认 / 第105行 / SHA256 bd4dae1e08e9eca7ddd0669235bf59107cdc418b9c2898fc16f36a7ab5748692</x:v>
      </x:c>
    </x:row>
    <x:row r="1051" ht="58" customHeight="1">
      <x:c r="A1051" s="23" t="str">
        <x:v>927993437111</x:v>
      </x:c>
      <x:c r="B1051" s="22"/>
      <x:c r="C1051" s="22"/>
      <x:c r="D1051" s="22"/>
      <x:c r="E1051" s="9" t="str">
        <x:v>裙长未明确</x:v>
      </x:c>
      <x:c r="F1051" s="9" t="str">
        <x:v>裙装</x:v>
      </x:c>
      <x:c r="G1051" s="9" t="str">
        <x:v>半身裙</x:v>
      </x:c>
      <x:c r="H1051" s="9" t="str">
        <x:v>女</x:v>
      </x:c>
      <x:c r="I1051" s="9" t="str">
        <x:v>花木深三醋酸半身裙女黑色裙子改良马面裙刺绣半裙【明星同款店】</x:v>
      </x:c>
      <x:c r="J1051" s="9" t="str">
        <x:v>花木深</x:v>
      </x:c>
      <x:c r="K1051" s="24" t="n">
        <x:v>1319.52</x:v>
      </x:c>
      <x:c r="L1051" s="25" t="e">
        <x:f>HYPERLINK("https://item.taobao.com/item.htm?id=927993437111","打开商品")</x:f>
        <x:v>HYPERLINK is not implemented. linkLocation=https://item.taobao.com/item.htm?id=927993437111, friendlyName=打开商品</x:v>
      </x:c>
      <x:c r="M1051" s="25" t="e">
        <x:f>HYPERLINK("https://data.zhiyitech.cn/itemDetail/overview/base?itemId=927993437111","打开知衣")</x:f>
        <x:v>HYPERLINK is not implemented. linkLocation=https://data.zhiyitech.cn/itemDetail/overview/base?itemId=927993437111, friendlyName=打开知衣</x:v>
      </x:c>
      <x:c r="N1051" s="25" t="e">
        <x:f>HYPERLINK("https://img.alicdn.com/bao/uploaded/i2/2772642048/O1CN01XS0a3C1R02CTPeXpe_!!4611686018427382016-0-item_pic.jpg","查看主图")</x:f>
        <x:v>HYPERLINK is not implemented. linkLocation=https://img.alicdn.com/bao/uploaded/i2/2772642048/O1CN01XS0a3C1R02CTPeXpe_!!4611686018427382016-0-item_pic.jpg, friendlyName=查看主图</x:v>
      </x:c>
      <x:c r="O1051" s="9" t="str">
        <x:v>标题及既有类目语义复核；花木深三醋酸半身裙女黑色裙子改良马面裙刺绣半裙【明星同款店】；原类目及标题已能确认半身裙；展示使用已知大类，未知裙长下沉到结构字段，不强猜长短。</x:v>
      </x:c>
      <x:c r="P1051" s="9" t="str">
        <x:v>普通男女装</x:v>
      </x:c>
      <x:c r="Q1051" s="9" t="str">
        <x:v>W_SKIRTS_AVGPAID_1300_1400_ANNUAL2026.xlsx</x:v>
      </x:c>
      <x:c r="R1051" s="9" t="str">
        <x:v>默认</x:v>
      </x:c>
      <x:c r="S1051" s="9" t="n">
        <x:v>466</x:v>
      </x:c>
      <x:c r="T1051" s="9" t="str">
        <x:v>bd4dae1e08e9eca7ddd0669235bf59107cdc418b9c2898fc16f36a7ab5748692</x:v>
      </x:c>
      <x:c r="U1051" s="9" t="str">
        <x:v>W_SKIRTS_AVGPAID_1300_1400_ANNUAL2026</x:v>
      </x:c>
      <x:c r="V1051" s="9" t="str">
        <x:v>W_SKIRTS_AVGPAID_1300_1400_ANNUAL2026.xlsx / 默认 / 第466行 / SHA256 bd4dae1e08e9eca7ddd0669235bf59107cdc418b9c2898fc16f36a7ab5748692</x:v>
      </x:c>
    </x:row>
    <x:row r="1052" ht="58" customHeight="1">
      <x:c r="A1052" s="23" t="str">
        <x:v>1029411028883</x:v>
      </x:c>
      <x:c r="B1052" s="22"/>
      <x:c r="C1052" s="22"/>
      <x:c r="D1052" s="22"/>
      <x:c r="E1052" s="9" t="str">
        <x:v>裙长未明确</x:v>
      </x:c>
      <x:c r="F1052" s="9" t="str">
        <x:v>裙装</x:v>
      </x:c>
      <x:c r="G1052" s="9" t="str">
        <x:v>半身裙</x:v>
      </x:c>
      <x:c r="H1052" s="9" t="str">
        <x:v>女</x:v>
      </x:c>
      <x:c r="I1052" s="9" t="str">
        <x:v>衣吾柒欧洲站2026春季女装松紧腰网纱裙不规则下摆飘逸温柔半身裙</x:v>
      </x:c>
      <x:c r="J1052" s="9" t="str">
        <x:v>衣吾柒</x:v>
      </x:c>
      <x:c r="K1052" s="24" t="n">
        <x:v>1313.44</x:v>
      </x:c>
      <x:c r="L1052" s="25" t="e">
        <x:f>HYPERLINK("https://item.taobao.com/item.htm?id=1029411028883","打开商品")</x:f>
        <x:v>HYPERLINK is not implemented. linkLocation=https://item.taobao.com/item.htm?id=1029411028883, friendlyName=打开商品</x:v>
      </x:c>
      <x:c r="M1052" s="25" t="e">
        <x:f>HYPERLINK("https://data.zhiyitech.cn/itemDetail/overview/base?itemId=1029411028883","打开知衣")</x:f>
        <x:v>HYPERLINK is not implemented. linkLocation=https://data.zhiyitech.cn/itemDetail/overview/base?itemId=1029411028883, friendlyName=打开知衣</x:v>
      </x:c>
      <x:c r="N1052" s="25" t="e">
        <x:f>HYPERLINK("https://img.alicdn.com/bao/uploaded/i1/303870560/O1CN010p3r9j1G0WvHruRN6_!!303870560.jpg","查看主图")</x:f>
        <x:v>HYPERLINK is not implemented. linkLocation=https://img.alicdn.com/bao/uploaded/i1/303870560/O1CN010p3r9j1G0WvHruRN6_!!303870560.jpg, friendlyName=查看主图</x:v>
      </x:c>
      <x:c r="O1052" s="9" t="str">
        <x:v>标题及既有类目语义复核；衣吾柒欧洲站2026春季女装松紧腰网纱裙不规则下摆飘逸温柔半身裙；原类目及标题已能确认半身裙；展示使用已知大类，未知裙长下沉到结构字段，不强猜长短。</x:v>
      </x:c>
      <x:c r="P1052" s="9" t="str">
        <x:v>普通男女装</x:v>
      </x:c>
      <x:c r="Q1052" s="9" t="str">
        <x:v>W_SKIRTS_AVGPAID_1300_1400_ANNUAL2026.xlsx</x:v>
      </x:c>
      <x:c r="R1052" s="9" t="str">
        <x:v>默认</x:v>
      </x:c>
      <x:c r="S1052" s="9" t="n">
        <x:v>382</x:v>
      </x:c>
      <x:c r="T1052" s="9" t="str">
        <x:v>bd4dae1e08e9eca7ddd0669235bf59107cdc418b9c2898fc16f36a7ab5748692</x:v>
      </x:c>
      <x:c r="U1052" s="9" t="str">
        <x:v>W_SKIRTS_AVGPAID_1300_1400_ANNUAL2026</x:v>
      </x:c>
      <x:c r="V1052" s="9" t="str">
        <x:v>W_SKIRTS_AVGPAID_1300_1400_ANNUAL2026.xlsx / 默认 / 第382行 / SHA256 bd4dae1e08e9eca7ddd0669235bf59107cdc418b9c2898fc16f36a7ab5748692</x:v>
      </x:c>
    </x:row>
    <x:row r="1053" ht="58" customHeight="1">
      <x:c r="A1053" s="23" t="str">
        <x:v>972557651274</x:v>
      </x:c>
      <x:c r="B1053" s="22"/>
      <x:c r="C1053" s="22"/>
      <x:c r="D1053" s="22"/>
      <x:c r="E1053" s="9" t="str">
        <x:v>裙长未明确</x:v>
      </x:c>
      <x:c r="F1053" s="9" t="str">
        <x:v>裙装</x:v>
      </x:c>
      <x:c r="G1053" s="9" t="str">
        <x:v>半身裙</x:v>
      </x:c>
      <x:c r="H1053" s="9" t="str">
        <x:v>女</x:v>
      </x:c>
      <x:c r="I1053" s="9" t="str">
        <x:v>译依YIYI 摩登都市 油蜡皮伞摆半裙高级感百搭女士皮裙</x:v>
      </x:c>
      <x:c r="J1053" s="9" t="str">
        <x:v>译依</x:v>
      </x:c>
      <x:c r="K1053" s="24" t="n">
        <x:v>1530.26</x:v>
      </x:c>
      <x:c r="L1053" s="25" t="e">
        <x:f>HYPERLINK("https://item.taobao.com/item.htm?id=972557651274","打开商品")</x:f>
        <x:v>HYPERLINK is not implemented. linkLocation=https://item.taobao.com/item.htm?id=972557651274, friendlyName=打开商品</x:v>
      </x:c>
      <x:c r="M1053" s="25" t="e">
        <x:f>HYPERLINK("https://data.zhiyitech.cn/itemDetail/overview/base?itemId=972557651274","打开知衣")</x:f>
        <x:v>HYPERLINK is not implemented. linkLocation=https://data.zhiyitech.cn/itemDetail/overview/base?itemId=972557651274, friendlyName=打开知衣</x:v>
      </x:c>
      <x:c r="N1053" s="25" t="e">
        <x:f>HYPERLINK("https://img.alicdn.com/bao/uploaded/i1/2212850931264/O1CN01PKx3LOva89L2R3rs_!!2212850931264.jpg","查看主图")</x:f>
        <x:v>HYPERLINK is not implemented. linkLocation=https://img.alicdn.com/bao/uploaded/i1/2212850931264/O1CN01PKx3LOva89L2R3rs_!!2212850931264.jpg, friendlyName=查看主图</x:v>
      </x:c>
      <x:c r="O1053" s="9" t="str">
        <x:v>标题及既有类目语义复核；译依YIYI 摩登都市 油蜡皮伞摆半裙高级感百搭女士皮裙；原类目及标题已能确认半身裙；展示使用已知大类，未知裙长下沉到结构字段，不强猜长短。</x:v>
      </x:c>
      <x:c r="P1053" s="9" t="str">
        <x:v>普通男女装</x:v>
      </x:c>
      <x:c r="Q1053" s="9" t="str">
        <x:v>W_SKIRTS_AVGPAID_1500_1600_ANNUAL2026.xlsx</x:v>
      </x:c>
      <x:c r="R1053" s="9" t="str">
        <x:v>默认</x:v>
      </x:c>
      <x:c r="S1053" s="9" t="n">
        <x:v>76</x:v>
      </x:c>
      <x:c r="T1053" s="9" t="str">
        <x:v>deede8b56943df4f914be45dba170f12e69064023d6ef0e88dbde1764f6ba23e</x:v>
      </x:c>
      <x:c r="U1053" s="9" t="str">
        <x:v>W_SKIRTS_AVGPAID_1500_1600_ANNUAL2026</x:v>
      </x:c>
      <x:c r="V1053" s="9" t="str">
        <x:v>W_SKIRTS_AVGPAID_1500_1600_ANNUAL2026.xlsx / 默认 / 第76行 / SHA256 deede8b56943df4f914be45dba170f12e69064023d6ef0e88dbde1764f6ba23e</x:v>
      </x:c>
    </x:row>
    <x:row r="1054" ht="58" customHeight="1">
      <x:c r="A1054" s="23" t="str">
        <x:v>1046730603222</x:v>
      </x:c>
      <x:c r="B1054" s="22"/>
      <x:c r="C1054" s="22"/>
      <x:c r="D1054" s="22"/>
      <x:c r="E1054" s="9" t="str">
        <x:v>裙长未明确</x:v>
      </x:c>
      <x:c r="F1054" s="9" t="str">
        <x:v>裙装</x:v>
      </x:c>
      <x:c r="G1054" s="9" t="str">
        <x:v>半身裙</x:v>
      </x:c>
      <x:c r="H1054" s="9" t="str">
        <x:v>女</x:v>
      </x:c>
      <x:c r="I1054" s="9" t="str">
        <x:v>[还朝2026SS]休假日系列春款日本进口棉麻晴山蓝松紧腰小A半身裙</x:v>
      </x:c>
      <x:c r="J1054" s="9" t="str">
        <x:v>还朝</x:v>
      </x:c>
      <x:c r="K1054" s="24" t="n">
        <x:v>1579.42</x:v>
      </x:c>
      <x:c r="L1054" s="25" t="e">
        <x:f>HYPERLINK("https://item.taobao.com/item.htm?id=1046730603222","打开商品")</x:f>
        <x:v>HYPERLINK is not implemented. linkLocation=https://item.taobao.com/item.htm?id=1046730603222, friendlyName=打开商品</x:v>
      </x:c>
      <x:c r="M1054" s="25" t="e">
        <x:f>HYPERLINK("https://data.zhiyitech.cn/itemDetail/overview/base?itemId=1046730603222","打开知衣")</x:f>
        <x:v>HYPERLINK is not implemented. linkLocation=https://data.zhiyitech.cn/itemDetail/overview/base?itemId=1046730603222, friendlyName=打开知衣</x:v>
      </x:c>
      <x:c r="N1054" s="25" t="e">
        <x:f>HYPERLINK("https://img.alicdn.com/bao/uploaded/i2/2566694550/O1CN013hZR781jTxEkmugXY_!!2566694550.jpg","查看主图")</x:f>
        <x:v>HYPERLINK is not implemented. linkLocation=https://img.alicdn.com/bao/uploaded/i2/2566694550/O1CN013hZR781jTxEkmugXY_!!2566694550.jpg, friendlyName=查看主图</x:v>
      </x:c>
      <x:c r="O1054" s="9" t="str">
        <x:v>标题及既有类目语义复核；[还朝2026SS]休假日系列春款日本进口棉麻晴山蓝松紧腰小A半身裙；原类目及标题已能确认半身裙；展示使用已知大类，未知裙长下沉到结构字段，不强猜长短。</x:v>
      </x:c>
      <x:c r="P1054" s="9" t="str">
        <x:v>普通男女装</x:v>
      </x:c>
      <x:c r="Q1054" s="9" t="str">
        <x:v>W_SKIRTS_AVGPAID_1500_1600_ANNUAL2026.xlsx</x:v>
      </x:c>
      <x:c r="R1054" s="9" t="str">
        <x:v>默认</x:v>
      </x:c>
      <x:c r="S1054" s="9" t="n">
        <x:v>237</x:v>
      </x:c>
      <x:c r="T1054" s="9" t="str">
        <x:v>deede8b56943df4f914be45dba170f12e69064023d6ef0e88dbde1764f6ba23e</x:v>
      </x:c>
      <x:c r="U1054" s="9" t="str">
        <x:v>W_SKIRTS_AVGPAID_1500_1600_ANNUAL2026</x:v>
      </x:c>
      <x:c r="V1054" s="9" t="str">
        <x:v>W_SKIRTS_AVGPAID_1500_1600_ANNUAL2026.xlsx / 默认 / 第237行 / SHA256 deede8b56943df4f914be45dba170f12e69064023d6ef0e88dbde1764f6ba23e</x:v>
      </x:c>
    </x:row>
    <x:row r="1055" ht="58" customHeight="1">
      <x:c r="A1055" s="23" t="str">
        <x:v>1068855051759</x:v>
      </x:c>
      <x:c r="B1055" s="22"/>
      <x:c r="C1055" s="22"/>
      <x:c r="D1055" s="22"/>
      <x:c r="E1055" s="9" t="str">
        <x:v>裙长未明确</x:v>
      </x:c>
      <x:c r="F1055" s="9" t="str">
        <x:v>裙装</x:v>
      </x:c>
      <x:c r="G1055" s="9" t="str">
        <x:v>半身裙</x:v>
      </x:c>
      <x:c r="H1055" s="9" t="str">
        <x:v>女</x:v>
      </x:c>
      <x:c r="I1055" s="9" t="str">
        <x:v>[还朝2026SS]云朵系列夏款日本进口藏青天日干抽皱花边半裙</x:v>
      </x:c>
      <x:c r="J1055" s="9" t="str">
        <x:v>还朝</x:v>
      </x:c>
      <x:c r="K1055" s="24" t="n">
        <x:v>1798</x:v>
      </x:c>
      <x:c r="L1055" s="25" t="e">
        <x:f>HYPERLINK("https://item.taobao.com/item.htm?id=1068855051759","打开商品")</x:f>
        <x:v>HYPERLINK is not implemented. linkLocation=https://item.taobao.com/item.htm?id=1068855051759, friendlyName=打开商品</x:v>
      </x:c>
      <x:c r="M1055" s="25" t="e">
        <x:f>HYPERLINK("https://data.zhiyitech.cn/itemDetail/overview/base?itemId=1068855051759","打开知衣")</x:f>
        <x:v>HYPERLINK is not implemented. linkLocation=https://data.zhiyitech.cn/itemDetail/overview/base?itemId=1068855051759, friendlyName=打开知衣</x:v>
      </x:c>
      <x:c r="N1055" s="25" t="e">
        <x:f>HYPERLINK("https://img.alicdn.com/bao/uploaded/i3/2566694550/O1CN01kfETOwBMOYE2vH2e_!!2566694550.jpg","查看主图")</x:f>
        <x:v>HYPERLINK is not implemented. linkLocation=https://img.alicdn.com/bao/uploaded/i3/2566694550/O1CN01kfETOwBMOYE2vH2e_!!2566694550.jpg, friendlyName=查看主图</x:v>
      </x:c>
      <x:c r="O1055" s="9" t="str">
        <x:v>标题及既有类目语义复核；[还朝2026SS]云朵系列夏款日本进口藏青天日干抽皱花边半裙；原类目及标题已能确认半身裙；展示使用已知大类，未知裙长下沉到结构字段，不强猜长短。</x:v>
      </x:c>
      <x:c r="P1055" s="9" t="str">
        <x:v>普通男女装</x:v>
      </x:c>
      <x:c r="Q1055" s="9" t="str">
        <x:v>W_SKIRTS_AVGPAID_1700_1800_ANNUAL2026.xlsx</x:v>
      </x:c>
      <x:c r="R1055" s="9" t="str">
        <x:v>默认</x:v>
      </x:c>
      <x:c r="S1055" s="9" t="n">
        <x:v>193</x:v>
      </x:c>
      <x:c r="T1055" s="9" t="str">
        <x:v>c25ed77c53c7c5cfcf728778a0e9b297d8689503f62756a939cbd534ca9b587a</x:v>
      </x:c>
      <x:c r="U1055" s="9" t="str">
        <x:v>W_SKIRTS_AVGPAID_1700_1800_ANNUAL2026</x:v>
      </x:c>
      <x:c r="V1055" s="9" t="str">
        <x:v>W_SKIRTS_AVGPAID_1700_1800_ANNUAL2026.xlsx / 默认 / 第193行 / SHA256 c25ed77c53c7c5cfcf728778a0e9b297d8689503f62756a939cbd534ca9b587a</x:v>
      </x:c>
    </x:row>
    <x:row r="1056" ht="58" customHeight="1">
      <x:c r="A1056" s="23" t="str">
        <x:v>1012093120107</x:v>
      </x:c>
      <x:c r="B1056" s="22"/>
      <x:c r="C1056" s="22"/>
      <x:c r="D1056" s="22"/>
      <x:c r="E1056" s="9" t="str">
        <x:v>裙长未明确</x:v>
      </x:c>
      <x:c r="F1056" s="9" t="str">
        <x:v>裙装</x:v>
      </x:c>
      <x:c r="G1056" s="9" t="str">
        <x:v>半身裙</x:v>
      </x:c>
      <x:c r="H1056" s="9" t="str">
        <x:v>女</x:v>
      </x:c>
      <x:c r="I1056" s="9" t="str">
        <x:v>鄂尔多斯1980新品棉质牛仔蓬松半裙女装通勤休闲半裙26春秋</x:v>
      </x:c>
      <x:c r="J1056" s="9" t="str">
        <x:v>鄂尔多斯1980</x:v>
      </x:c>
      <x:c r="K1056" s="24" t="n">
        <x:v>1713.99</x:v>
      </x:c>
      <x:c r="L1056" s="25" t="e">
        <x:f>HYPERLINK("https://item.taobao.com/item.htm?id=1012093120107","打开商品")</x:f>
        <x:v>HYPERLINK is not implemented. linkLocation=https://item.taobao.com/item.htm?id=1012093120107, friendlyName=打开商品</x:v>
      </x:c>
      <x:c r="M1056" s="25" t="e">
        <x:f>HYPERLINK("https://data.zhiyitech.cn/itemDetail/overview/base?itemId=1012093120107","打开知衣")</x:f>
        <x:v>HYPERLINK is not implemented. linkLocation=https://data.zhiyitech.cn/itemDetail/overview/base?itemId=1012093120107, friendlyName=打开知衣</x:v>
      </x:c>
      <x:c r="N1056" s="25" t="e">
        <x:f>HYPERLINK("https://img.alicdn.com/bao/uploaded/i2/3818894317/O1CN01CEbzhEWNypL2vH2e-3818894317.jpg","查看主图")</x:f>
        <x:v>HYPERLINK is not implemented. linkLocation=https://img.alicdn.com/bao/uploaded/i2/3818894317/O1CN01CEbzhEWNypL2vH2e-3818894317.jpg, friendlyName=查看主图</x:v>
      </x:c>
      <x:c r="O1056" s="9" t="str">
        <x:v>标题及既有类目语义复核；鄂尔多斯1980新品棉质牛仔蓬松半裙女装通勤休闲半裙26春秋；原类目及标题已能确认半身裙；展示使用已知大类，未知裙长下沉到结构字段，不强猜长短。</x:v>
      </x:c>
      <x:c r="P1056" s="9" t="str">
        <x:v>普通男女装</x:v>
      </x:c>
      <x:c r="Q1056" s="9" t="str">
        <x:v>W_SKIRTS_AVGPAID_1700_1800_ANNUAL2026.xlsx</x:v>
      </x:c>
      <x:c r="R1056" s="9" t="str">
        <x:v>默认</x:v>
      </x:c>
      <x:c r="S1056" s="9" t="n">
        <x:v>353</x:v>
      </x:c>
      <x:c r="T1056" s="9" t="str">
        <x:v>c25ed77c53c7c5cfcf728778a0e9b297d8689503f62756a939cbd534ca9b587a</x:v>
      </x:c>
      <x:c r="U1056" s="9" t="str">
        <x:v>W_SKIRTS_AVGPAID_1700_1800_ANNUAL2026</x:v>
      </x:c>
      <x:c r="V1056" s="9" t="str">
        <x:v>W_SKIRTS_AVGPAID_1700_1800_ANNUAL2026.xlsx / 默认 / 第353行 / SHA256 c25ed77c53c7c5cfcf728778a0e9b297d8689503f62756a939cbd534ca9b587a</x:v>
      </x:c>
    </x:row>
    <x:row r="1057" ht="58" customHeight="1">
      <x:c r="A1057" s="23" t="str">
        <x:v>1031002005080</x:v>
      </x:c>
      <x:c r="B1057" s="22"/>
      <x:c r="C1057" s="22"/>
      <x:c r="D1057" s="22"/>
      <x:c r="E1057" s="9" t="str">
        <x:v>裙长未明确</x:v>
      </x:c>
      <x:c r="F1057" s="9" t="str">
        <x:v>裙装</x:v>
      </x:c>
      <x:c r="G1057" s="9" t="str">
        <x:v>半身裙</x:v>
      </x:c>
      <x:c r="H1057" s="9" t="str">
        <x:v>女</x:v>
      </x:c>
      <x:c r="I1057" s="9" t="str">
        <x:v>鄂尔多斯1980新品棉混纺运动休闲白裙女装抽绳高腰半身裙26夏季</x:v>
      </x:c>
      <x:c r="J1057" s="9" t="str">
        <x:v>鄂尔多斯1980</x:v>
      </x:c>
      <x:c r="K1057" s="24" t="n">
        <x:v>1765.64</x:v>
      </x:c>
      <x:c r="L1057" s="25" t="e">
        <x:f>HYPERLINK("https://item.taobao.com/item.htm?id=1031002005080","打开商品")</x:f>
        <x:v>HYPERLINK is not implemented. linkLocation=https://item.taobao.com/item.htm?id=1031002005080, friendlyName=打开商品</x:v>
      </x:c>
      <x:c r="M1057" s="25" t="e">
        <x:f>HYPERLINK("https://data.zhiyitech.cn/itemDetail/overview/base?itemId=1031002005080","打开知衣")</x:f>
        <x:v>HYPERLINK is not implemented. linkLocation=https://data.zhiyitech.cn/itemDetail/overview/base?itemId=1031002005080, friendlyName=打开知衣</x:v>
      </x:c>
      <x:c r="N1057" s="25" t="e">
        <x:f>HYPERLINK("https://img.alicdn.com/bao/uploaded/i4/3818894317/O1CN01s1SGOfTAsPL2vH2e-3818894317.jpg","查看主图")</x:f>
        <x:v>HYPERLINK is not implemented. linkLocation=https://img.alicdn.com/bao/uploaded/i4/3818894317/O1CN01s1SGOfTAsPL2vH2e-3818894317.jpg, friendlyName=查看主图</x:v>
      </x:c>
      <x:c r="O1057" s="9" t="str">
        <x:v>标题及既有类目语义复核；鄂尔多斯1980新品棉混纺运动休闲白裙女装抽绳高腰半身裙26夏季；原类目及标题已能确认半身裙；展示使用已知大类，未知裙长下沉到结构字段，不强猜长短。</x:v>
      </x:c>
      <x:c r="P1057" s="9" t="str">
        <x:v>普通男女装</x:v>
      </x:c>
      <x:c r="Q1057" s="9" t="str">
        <x:v>W_SKIRTS_AVGPAID_1700_1800_ANNUAL2026.xlsx</x:v>
      </x:c>
      <x:c r="R1057" s="9" t="str">
        <x:v>默认</x:v>
      </x:c>
      <x:c r="S1057" s="9" t="n">
        <x:v>213</x:v>
      </x:c>
      <x:c r="T1057" s="9" t="str">
        <x:v>c25ed77c53c7c5cfcf728778a0e9b297d8689503f62756a939cbd534ca9b587a</x:v>
      </x:c>
      <x:c r="U1057" s="9" t="str">
        <x:v>W_SKIRTS_AVGPAID_1700_1800_ANNUAL2026</x:v>
      </x:c>
      <x:c r="V1057" s="9" t="str">
        <x:v>W_SKIRTS_AVGPAID_1700_1800_ANNUAL2026.xlsx / 默认 / 第213行 / SHA256 c25ed77c53c7c5cfcf728778a0e9b297d8689503f62756a939cbd534ca9b587a</x:v>
      </x:c>
    </x:row>
    <x:row r="1058" ht="58" customHeight="1">
      <x:c r="A1058" s="23" t="str">
        <x:v>865060403463</x:v>
      </x:c>
      <x:c r="B1058" s="22"/>
      <x:c r="C1058" s="22"/>
      <x:c r="D1058" s="22"/>
      <x:c r="E1058" s="9" t="str">
        <x:v>裙长未明确</x:v>
      </x:c>
      <x:c r="F1058" s="9" t="str">
        <x:v>裙装</x:v>
      </x:c>
      <x:c r="G1058" s="9" t="str">
        <x:v>半身裙</x:v>
      </x:c>
      <x:c r="H1058" s="9" t="str">
        <x:v>女</x:v>
      </x:c>
      <x:c r="I1058" s="9" t="str">
        <x:v>鄂尔多斯1980桑蚕丝印花后下摆开叉半裙女欧根纱半裙春夏</x:v>
      </x:c>
      <x:c r="J1058" s="9" t="str">
        <x:v>鄂尔多斯1980</x:v>
      </x:c>
      <x:c r="K1058" s="24" t="n">
        <x:v>1523.75</x:v>
      </x:c>
      <x:c r="L1058" s="25" t="e">
        <x:f>HYPERLINK("https://item.taobao.com/item.htm?id=865060403463","打开商品")</x:f>
        <x:v>HYPERLINK is not implemented. linkLocation=https://item.taobao.com/item.htm?id=865060403463, friendlyName=打开商品</x:v>
      </x:c>
      <x:c r="M1058" s="25" t="e">
        <x:f>HYPERLINK("https://data.zhiyitech.cn/itemDetail/overview/base?itemId=865060403463","打开知衣")</x:f>
        <x:v>HYPERLINK is not implemented. linkLocation=https://data.zhiyitech.cn/itemDetail/overview/base?itemId=865060403463, friendlyName=打开知衣</x:v>
      </x:c>
      <x:c r="N1058" s="25" t="e">
        <x:f>HYPERLINK("https://img.alicdn.com/bao/uploaded/i1/3818894317/O1CN01BcMy3gIw2RB2vH2e-3818894317.jpg","查看主图")</x:f>
        <x:v>HYPERLINK is not implemented. linkLocation=https://img.alicdn.com/bao/uploaded/i1/3818894317/O1CN01BcMy3gIw2RB2vH2e-3818894317.jpg, friendlyName=查看主图</x:v>
      </x:c>
      <x:c r="O1058" s="9" t="str">
        <x:v>标题及既有类目语义复核；鄂尔多斯1980桑蚕丝印花后下摆开叉半裙女欧根纱半裙春夏；原类目及标题已能确认半身裙；展示使用已知大类，未知裙长下沉到结构字段，不强猜长短。</x:v>
      </x:c>
      <x:c r="P1058" s="9" t="str">
        <x:v>普通男女装</x:v>
      </x:c>
      <x:c r="Q1058" s="9" t="str">
        <x:v>W_SKIRTS_AVGPAID_1500_1600_ANNUAL2026.xlsx</x:v>
      </x:c>
      <x:c r="R1058" s="9" t="str">
        <x:v>默认</x:v>
      </x:c>
      <x:c r="S1058" s="9" t="n">
        <x:v>389</x:v>
      </x:c>
      <x:c r="T1058" s="9" t="str">
        <x:v>deede8b56943df4f914be45dba170f12e69064023d6ef0e88dbde1764f6ba23e</x:v>
      </x:c>
      <x:c r="U1058" s="9" t="str">
        <x:v>W_SKIRTS_AVGPAID_1500_1600_ANNUAL2026</x:v>
      </x:c>
      <x:c r="V1058" s="9" t="str">
        <x:v>W_SKIRTS_AVGPAID_1500_1600_ANNUAL2026.xlsx / 默认 / 第389行 / SHA256 deede8b56943df4f914be45dba170f12e69064023d6ef0e88dbde1764f6ba23e</x:v>
      </x:c>
    </x:row>
    <x:row r="1059" ht="58" customHeight="1">
      <x:c r="A1059" s="23" t="str">
        <x:v>908778620037</x:v>
      </x:c>
      <x:c r="B1059" s="22"/>
      <x:c r="C1059" s="22"/>
      <x:c r="D1059" s="22"/>
      <x:c r="E1059" s="9" t="str">
        <x:v>裙长未明确</x:v>
      </x:c>
      <x:c r="F1059" s="9" t="str">
        <x:v>裙装</x:v>
      </x:c>
      <x:c r="G1059" s="9" t="str">
        <x:v>半身裙</x:v>
      </x:c>
      <x:c r="H1059" s="9" t="str">
        <x:v>女</x:v>
      </x:c>
      <x:c r="I1059" s="9" t="str">
        <x:v>【Liberty印花】鄂尔多斯1980纯棉女装休闲半身裙春秋</x:v>
      </x:c>
      <x:c r="J1059" s="9" t="str">
        <x:v>鄂尔多斯1980</x:v>
      </x:c>
      <x:c r="K1059" s="24" t="n">
        <x:v>1738.13</x:v>
      </x:c>
      <x:c r="L1059" s="25" t="e">
        <x:f>HYPERLINK("https://item.taobao.com/item.htm?id=908778620037","打开商品")</x:f>
        <x:v>HYPERLINK is not implemented. linkLocation=https://item.taobao.com/item.htm?id=908778620037, friendlyName=打开商品</x:v>
      </x:c>
      <x:c r="M1059" s="25" t="e">
        <x:f>HYPERLINK("https://data.zhiyitech.cn/itemDetail/overview/base?itemId=908778620037","打开知衣")</x:f>
        <x:v>HYPERLINK is not implemented. linkLocation=https://data.zhiyitech.cn/itemDetail/overview/base?itemId=908778620037, friendlyName=打开知衣</x:v>
      </x:c>
      <x:c r="N1059" s="25" t="e">
        <x:f>HYPERLINK("https://img.alicdn.com/bao/uploaded/i2/3818894317/O1CN01heQNsZSmDqJ2vH2e-3818894317.jpg","查看主图")</x:f>
        <x:v>HYPERLINK is not implemented. linkLocation=https://img.alicdn.com/bao/uploaded/i2/3818894317/O1CN01heQNsZSmDqJ2vH2e-3818894317.jpg, friendlyName=查看主图</x:v>
      </x:c>
      <x:c r="O1059" s="9" t="str">
        <x:v>标题及既有类目语义复核；【Liberty印花】鄂尔多斯1980纯棉女装休闲半身裙春秋；原类目及标题已能确认半身裙；展示使用已知大类，未知裙长下沉到结构字段，不强猜长短。</x:v>
      </x:c>
      <x:c r="P1059" s="9" t="str">
        <x:v>普通男女装</x:v>
      </x:c>
      <x:c r="Q1059" s="9" t="str">
        <x:v>W_SKIRTS_AVGPAID_1700_1800_ANNUAL2026.xlsx</x:v>
      </x:c>
      <x:c r="R1059" s="9" t="str">
        <x:v>默认</x:v>
      </x:c>
      <x:c r="S1059" s="9" t="n">
        <x:v>112</x:v>
      </x:c>
      <x:c r="T1059" s="9" t="str">
        <x:v>c25ed77c53c7c5cfcf728778a0e9b297d8689503f62756a939cbd534ca9b587a</x:v>
      </x:c>
      <x:c r="U1059" s="9" t="str">
        <x:v>W_SKIRTS_AVGPAID_1700_1800_ANNUAL2026</x:v>
      </x:c>
      <x:c r="V1059" s="9" t="str">
        <x:v>W_SKIRTS_AVGPAID_1700_1800_ANNUAL2026.xlsx / 默认 / 第112行 / SHA256 c25ed77c53c7c5cfcf728778a0e9b297d8689503f62756a939cbd534ca9b587a</x:v>
      </x:c>
    </x:row>
    <x:row r="1060" ht="58" customHeight="1">
      <x:c r="A1060" s="23" t="str">
        <x:v>956502286788</x:v>
      </x:c>
      <x:c r="B1060" s="22"/>
      <x:c r="C1060" s="22"/>
      <x:c r="D1060" s="22"/>
      <x:c r="E1060" s="9" t="str">
        <x:v>裙长未明确</x:v>
      </x:c>
      <x:c r="F1060" s="9" t="str">
        <x:v>裙装</x:v>
      </x:c>
      <x:c r="G1060" s="9" t="str">
        <x:v>半身裙</x:v>
      </x:c>
      <x:c r="H1060" s="9" t="str">
        <x:v>女</x:v>
      </x:c>
      <x:c r="I1060" s="9" t="str">
        <x:v>【精纺双提厚半裙】鄂尔多斯1980羊毛羊绒女装针织半裙秋冬</x:v>
      </x:c>
      <x:c r="J1060" s="9" t="str">
        <x:v>鄂尔多斯1980</x:v>
      </x:c>
      <x:c r="K1060" s="24" t="n">
        <x:v>1322.04</x:v>
      </x:c>
      <x:c r="L1060" s="25" t="e">
        <x:f>HYPERLINK("https://item.taobao.com/item.htm?id=956502286788","打开商品")</x:f>
        <x:v>HYPERLINK is not implemented. linkLocation=https://item.taobao.com/item.htm?id=956502286788, friendlyName=打开商品</x:v>
      </x:c>
      <x:c r="M1060" s="25" t="e">
        <x:f>HYPERLINK("https://data.zhiyitech.cn/itemDetail/overview/base?itemId=956502286788","打开知衣")</x:f>
        <x:v>HYPERLINK is not implemented. linkLocation=https://data.zhiyitech.cn/itemDetail/overview/base?itemId=956502286788, friendlyName=打开知衣</x:v>
      </x:c>
      <x:c r="N1060" s="25" t="e">
        <x:f>HYPERLINK("https://img.alicdn.com/bao/uploaded/i2/3818894317/O1CN01TDAb0FzPkAL2vH2e-3818894317.jpg","查看主图")</x:f>
        <x:v>HYPERLINK is not implemented. linkLocation=https://img.alicdn.com/bao/uploaded/i2/3818894317/O1CN01TDAb0FzPkAL2vH2e-3818894317.jpg, friendlyName=查看主图</x:v>
      </x:c>
      <x:c r="O1060" s="9" t="str">
        <x:v>标题及既有类目语义复核；【精纺双提厚半裙】鄂尔多斯1980羊毛羊绒女装针织半裙秋冬；原类目及标题已能确认半身裙；展示使用已知大类，未知裙长下沉到结构字段，不强猜长短。</x:v>
      </x:c>
      <x:c r="P1060" s="9" t="str">
        <x:v>普通男女装</x:v>
      </x:c>
      <x:c r="Q1060" s="9" t="str">
        <x:v>W_SKIRTS_AVGPAID_1300_1400_ANNUAL2026.xlsx</x:v>
      </x:c>
      <x:c r="R1060" s="9" t="str">
        <x:v>默认</x:v>
      </x:c>
      <x:c r="S1060" s="9" t="n">
        <x:v>447</x:v>
      </x:c>
      <x:c r="T1060" s="9" t="str">
        <x:v>bd4dae1e08e9eca7ddd0669235bf59107cdc418b9c2898fc16f36a7ab5748692</x:v>
      </x:c>
      <x:c r="U1060" s="9" t="str">
        <x:v>W_SKIRTS_AVGPAID_1300_1400_ANNUAL2026</x:v>
      </x:c>
      <x:c r="V1060" s="9" t="str">
        <x:v>W_SKIRTS_AVGPAID_1300_1400_ANNUAL2026.xlsx / 默认 / 第447行 / SHA256 bd4dae1e08e9eca7ddd0669235bf59107cdc418b9c2898fc16f36a7ab5748692</x:v>
      </x:c>
    </x:row>
    <x:row r="1061" ht="58" customHeight="1">
      <x:c r="A1061" s="23" t="str">
        <x:v>962628585044</x:v>
      </x:c>
      <x:c r="B1061" s="22"/>
      <x:c r="C1061" s="22"/>
      <x:c r="D1061" s="22"/>
      <x:c r="E1061" s="9" t="str">
        <x:v>裙长未明确</x:v>
      </x:c>
      <x:c r="F1061" s="9" t="str">
        <x:v>裙装</x:v>
      </x:c>
      <x:c r="G1061" s="9" t="str">
        <x:v>半身裙</x:v>
      </x:c>
      <x:c r="H1061" s="9" t="str">
        <x:v>女</x:v>
      </x:c>
      <x:c r="I1061" s="9" t="str">
        <x:v>鄂尔多斯1980 全棉植绒显瘦休闲女装牛仔直筒半裙秋冬</x:v>
      </x:c>
      <x:c r="J1061" s="9" t="str">
        <x:v>鄂尔多斯1980</x:v>
      </x:c>
      <x:c r="K1061" s="24" t="n">
        <x:v>1576.23</x:v>
      </x:c>
      <x:c r="L1061" s="25" t="e">
        <x:f>HYPERLINK("https://item.taobao.com/item.htm?id=962628585044","打开商品")</x:f>
        <x:v>HYPERLINK is not implemented. linkLocation=https://item.taobao.com/item.htm?id=962628585044, friendlyName=打开商品</x:v>
      </x:c>
      <x:c r="M1061" s="25" t="e">
        <x:f>HYPERLINK("https://data.zhiyitech.cn/itemDetail/overview/base?itemId=962628585044","打开知衣")</x:f>
        <x:v>HYPERLINK is not implemented. linkLocation=https://data.zhiyitech.cn/itemDetail/overview/base?itemId=962628585044, friendlyName=打开知衣</x:v>
      </x:c>
      <x:c r="N1061" s="25" t="e">
        <x:f>HYPERLINK("https://img.alicdn.com/bao/uploaded/i4/3818894317/O1CN017qwnVGNanjB2vH2e-3818894317.jpg","查看主图")</x:f>
        <x:v>HYPERLINK is not implemented. linkLocation=https://img.alicdn.com/bao/uploaded/i4/3818894317/O1CN017qwnVGNanjB2vH2e-3818894317.jpg, friendlyName=查看主图</x:v>
      </x:c>
      <x:c r="O1061" s="9" t="str">
        <x:v>标题及既有类目语义复核；鄂尔多斯1980 全棉植绒显瘦休闲女装牛仔直筒半裙秋冬；原类目及标题已能确认半身裙；展示使用已知大类，未知裙长下沉到结构字段，不强猜长短。</x:v>
      </x:c>
      <x:c r="P1061" s="9" t="str">
        <x:v>普通男女装</x:v>
      </x:c>
      <x:c r="Q1061" s="9" t="str">
        <x:v>W_SKIRTS_AVGPAID_1500_1600_ANNUAL2026.xlsx</x:v>
      </x:c>
      <x:c r="R1061" s="9" t="str">
        <x:v>默认</x:v>
      </x:c>
      <x:c r="S1061" s="9" t="n">
        <x:v>255</x:v>
      </x:c>
      <x:c r="T1061" s="9" t="str">
        <x:v>deede8b56943df4f914be45dba170f12e69064023d6ef0e88dbde1764f6ba23e</x:v>
      </x:c>
      <x:c r="U1061" s="9" t="str">
        <x:v>W_SKIRTS_AVGPAID_1500_1600_ANNUAL2026</x:v>
      </x:c>
      <x:c r="V1061" s="9" t="str">
        <x:v>W_SKIRTS_AVGPAID_1500_1600_ANNUAL2026.xlsx / 默认 / 第255行 / SHA256 deede8b56943df4f914be45dba170f12e69064023d6ef0e88dbde1764f6ba23e</x:v>
      </x:c>
    </x:row>
    <x:row r="1062" ht="58" customHeight="1">
      <x:c r="A1062" s="23" t="str">
        <x:v>966059121225</x:v>
      </x:c>
      <x:c r="B1062" s="22"/>
      <x:c r="C1062" s="22"/>
      <x:c r="D1062" s="22"/>
      <x:c r="E1062" s="9" t="str">
        <x:v>裙长未明确</x:v>
      </x:c>
      <x:c r="F1062" s="9" t="str">
        <x:v>裙装</x:v>
      </x:c>
      <x:c r="G1062" s="9" t="str">
        <x:v>半身裙</x:v>
      </x:c>
      <x:c r="H1062" s="9" t="str">
        <x:v>女</x:v>
      </x:c>
      <x:c r="I1062" s="9" t="str">
        <x:v>【假两件羊毛半裙】鄂尔多斯1980精纺羊毛女围裹半裙秋冬</x:v>
      </x:c>
      <x:c r="J1062" s="9" t="str">
        <x:v>鄂尔多斯1980</x:v>
      </x:c>
      <x:c r="K1062" s="24" t="n">
        <x:v>1763.93</x:v>
      </x:c>
      <x:c r="L1062" s="25" t="e">
        <x:f>HYPERLINK("https://item.taobao.com/item.htm?id=966059121225","打开商品")</x:f>
        <x:v>HYPERLINK is not implemented. linkLocation=https://item.taobao.com/item.htm?id=966059121225, friendlyName=打开商品</x:v>
      </x:c>
      <x:c r="M1062" s="25" t="e">
        <x:f>HYPERLINK("https://data.zhiyitech.cn/itemDetail/overview/base?itemId=966059121225","打开知衣")</x:f>
        <x:v>HYPERLINK is not implemented. linkLocation=https://data.zhiyitech.cn/itemDetail/overview/base?itemId=966059121225, friendlyName=打开知衣</x:v>
      </x:c>
      <x:c r="N1062" s="25" t="e">
        <x:f>HYPERLINK("https://img.alicdn.com/bao/uploaded/i4/3818894317/O1CN01EO1rps8YaLJ2vH2e-3818894317.jpg","查看主图")</x:f>
        <x:v>HYPERLINK is not implemented. linkLocation=https://img.alicdn.com/bao/uploaded/i4/3818894317/O1CN01EO1rps8YaLJ2vH2e-3818894317.jpg, friendlyName=查看主图</x:v>
      </x:c>
      <x:c r="O1062" s="9" t="str">
        <x:v>标题及既有类目语义复核；【假两件羊毛半裙】鄂尔多斯1980精纺羊毛女围裹半裙秋冬；原类目及标题已能确认半身裙；展示使用已知大类，未知裙长下沉到结构字段，不强猜长短。</x:v>
      </x:c>
      <x:c r="P1062" s="9" t="str">
        <x:v>普通男女装</x:v>
      </x:c>
      <x:c r="Q1062" s="9" t="str">
        <x:v>W_SKIRTS_AVGPAID_1700_1800_ANNUAL2026.xlsx</x:v>
      </x:c>
      <x:c r="R1062" s="9" t="str">
        <x:v>默认</x:v>
      </x:c>
      <x:c r="S1062" s="9" t="n">
        <x:v>341</x:v>
      </x:c>
      <x:c r="T1062" s="9" t="str">
        <x:v>c25ed77c53c7c5cfcf728778a0e9b297d8689503f62756a939cbd534ca9b587a</x:v>
      </x:c>
      <x:c r="U1062" s="9" t="str">
        <x:v>W_SKIRTS_AVGPAID_1700_1800_ANNUAL2026</x:v>
      </x:c>
      <x:c r="V1062" s="9" t="str">
        <x:v>W_SKIRTS_AVGPAID_1700_1800_ANNUAL2026.xlsx / 默认 / 第341行 / SHA256 c25ed77c53c7c5cfcf728778a0e9b297d8689503f62756a939cbd534ca9b587a</x:v>
      </x:c>
    </x:row>
    <x:row r="1063" ht="58" customHeight="1">
      <x:c r="A1063" s="23" t="str">
        <x:v>967989886524</x:v>
      </x:c>
      <x:c r="B1063" s="22"/>
      <x:c r="C1063" s="22"/>
      <x:c r="D1063" s="22"/>
      <x:c r="E1063" s="9" t="str">
        <x:v>裙长未明确</x:v>
      </x:c>
      <x:c r="F1063" s="9" t="str">
        <x:v>裙装</x:v>
      </x:c>
      <x:c r="G1063" s="9" t="str">
        <x:v>半身裙</x:v>
      </x:c>
      <x:c r="H1063" s="9" t="str">
        <x:v>女</x:v>
      </x:c>
      <x:c r="I1063" s="9" t="str">
        <x:v>鄂尔多斯1980纯羊绒舒适针织半裙红色女装四平通勤羊绒半裙早春</x:v>
      </x:c>
      <x:c r="J1063" s="9" t="str">
        <x:v>鄂尔多斯1980</x:v>
      </x:c>
      <x:c r="K1063" s="24" t="n">
        <x:v>1752.84</x:v>
      </x:c>
      <x:c r="L1063" s="25" t="e">
        <x:f>HYPERLINK("https://item.taobao.com/item.htm?id=967989886524","打开商品")</x:f>
        <x:v>HYPERLINK is not implemented. linkLocation=https://item.taobao.com/item.htm?id=967989886524, friendlyName=打开商品</x:v>
      </x:c>
      <x:c r="M1063" s="25" t="e">
        <x:f>HYPERLINK("https://data.zhiyitech.cn/itemDetail/overview/base?itemId=967989886524","打开知衣")</x:f>
        <x:v>HYPERLINK is not implemented. linkLocation=https://data.zhiyitech.cn/itemDetail/overview/base?itemId=967989886524, friendlyName=打开知衣</x:v>
      </x:c>
      <x:c r="N1063" s="25" t="e">
        <x:f>HYPERLINK("https://img.alicdn.com/bao/uploaded/i2/3818894317/O1CN01GqQOfV1hlEwg4olhJ_!!3818894317.jpg","查看主图")</x:f>
        <x:v>HYPERLINK is not implemented. linkLocation=https://img.alicdn.com/bao/uploaded/i2/3818894317/O1CN01GqQOfV1hlEwg4olhJ_!!3818894317.jpg, friendlyName=查看主图</x:v>
      </x:c>
      <x:c r="O1063" s="9" t="str">
        <x:v>标题及既有类目语义复核；鄂尔多斯1980纯羊绒舒适针织半裙红色女装四平通勤羊绒半裙早春；原类目及标题已能确认半身裙；展示使用已知大类，未知裙长下沉到结构字段，不强猜长短。</x:v>
      </x:c>
      <x:c r="P1063" s="9" t="str">
        <x:v>普通男女装</x:v>
      </x:c>
      <x:c r="Q1063" s="9" t="str">
        <x:v>W_SKIRTS_AVGPAID_1700_1800_ANNUAL2026.xlsx</x:v>
      </x:c>
      <x:c r="R1063" s="9" t="str">
        <x:v>默认</x:v>
      </x:c>
      <x:c r="S1063" s="9" t="n">
        <x:v>142</x:v>
      </x:c>
      <x:c r="T1063" s="9" t="str">
        <x:v>c25ed77c53c7c5cfcf728778a0e9b297d8689503f62756a939cbd534ca9b587a</x:v>
      </x:c>
      <x:c r="U1063" s="9" t="str">
        <x:v>W_SKIRTS_AVGPAID_1700_1800_ANNUAL2026</x:v>
      </x:c>
      <x:c r="V1063" s="9" t="str">
        <x:v>W_SKIRTS_AVGPAID_1700_1800_ANNUAL2026.xlsx / 默认 / 第142行 / SHA256 c25ed77c53c7c5cfcf728778a0e9b297d8689503f62756a939cbd534ca9b587a</x:v>
      </x:c>
    </x:row>
    <x:row r="1064" ht="58" customHeight="1">
      <x:c r="A1064" s="23" t="str">
        <x:v>970163445081</x:v>
      </x:c>
      <x:c r="B1064" s="22"/>
      <x:c r="C1064" s="22"/>
      <x:c r="D1064" s="22"/>
      <x:c r="E1064" s="9" t="str">
        <x:v>裙长未明确</x:v>
      </x:c>
      <x:c r="F1064" s="9" t="str">
        <x:v>裙装</x:v>
      </x:c>
      <x:c r="G1064" s="9" t="str">
        <x:v>半身裙</x:v>
      </x:c>
      <x:c r="H1064" s="9" t="str">
        <x:v>女</x:v>
      </x:c>
      <x:c r="I1064" s="9" t="str">
        <x:v>鄂尔多斯1980 纯羊绒知性半裙女装针织裙秋冬</x:v>
      </x:c>
      <x:c r="J1064" s="9" t="str">
        <x:v>鄂尔多斯1980</x:v>
      </x:c>
      <x:c r="K1064" s="24" t="n">
        <x:v>1570.31</x:v>
      </x:c>
      <x:c r="L1064" s="25" t="e">
        <x:f>HYPERLINK("https://item.taobao.com/item.htm?id=970163445081","打开商品")</x:f>
        <x:v>HYPERLINK is not implemented. linkLocation=https://item.taobao.com/item.htm?id=970163445081, friendlyName=打开商品</x:v>
      </x:c>
      <x:c r="M1064" s="25" t="e">
        <x:f>HYPERLINK("https://data.zhiyitech.cn/itemDetail/overview/base?itemId=970163445081","打开知衣")</x:f>
        <x:v>HYPERLINK is not implemented. linkLocation=https://data.zhiyitech.cn/itemDetail/overview/base?itemId=970163445081, friendlyName=打开知衣</x:v>
      </x:c>
      <x:c r="N1064" s="25" t="e">
        <x:f>HYPERLINK("https://img.alicdn.com/bao/uploaded/i2/3818894317/O1CN01d64Nw6JqXxC2vH2e-3818894317.jpg","查看主图")</x:f>
        <x:v>HYPERLINK is not implemented. linkLocation=https://img.alicdn.com/bao/uploaded/i2/3818894317/O1CN01d64Nw6JqXxC2vH2e-3818894317.jpg, friendlyName=查看主图</x:v>
      </x:c>
      <x:c r="O1064" s="9" t="str">
        <x:v>标题及既有类目语义复核；鄂尔多斯1980 纯羊绒知性半裙女装针织裙秋冬；原类目及标题已能确认半身裙；展示使用已知大类，未知裙长下沉到结构字段，不强猜长短。</x:v>
      </x:c>
      <x:c r="P1064" s="9" t="str">
        <x:v>普通男女装</x:v>
      </x:c>
      <x:c r="Q1064" s="9" t="str">
        <x:v>W_SKIRTS_AVGPAID_1500_1600_ANNUAL2026.xlsx</x:v>
      </x:c>
      <x:c r="R1064" s="9" t="str">
        <x:v>默认</x:v>
      </x:c>
      <x:c r="S1064" s="9" t="n">
        <x:v>11</x:v>
      </x:c>
      <x:c r="T1064" s="9" t="str">
        <x:v>deede8b56943df4f914be45dba170f12e69064023d6ef0e88dbde1764f6ba23e</x:v>
      </x:c>
      <x:c r="U1064" s="9" t="str">
        <x:v>W_SKIRTS_AVGPAID_1500_1600_ANNUAL2026</x:v>
      </x:c>
      <x:c r="V1064" s="9" t="str">
        <x:v>W_SKIRTS_AVGPAID_1500_1600_ANNUAL2026.xlsx / 默认 / 第11行 / SHA256 deede8b56943df4f914be45dba170f12e69064023d6ef0e88dbde1764f6ba23e</x:v>
      </x:c>
    </x:row>
    <x:row r="1065" ht="58" customHeight="1">
      <x:c r="A1065" s="23" t="str">
        <x:v>1019932288290</x:v>
      </x:c>
      <x:c r="B1065" s="22"/>
      <x:c r="C1065" s="22"/>
      <x:c r="D1065" s="22"/>
      <x:c r="E1065" s="9" t="str">
        <x:v>裙长未明确</x:v>
      </x:c>
      <x:c r="F1065" s="9" t="str">
        <x:v>裙装</x:v>
      </x:c>
      <x:c r="G1065" s="9" t="str">
        <x:v>半身裙</x:v>
      </x:c>
      <x:c r="H1065" s="9" t="str">
        <x:v>女</x:v>
      </x:c>
      <x:c r="I1065" s="9" t="str">
        <x:v>阿玛施白月光浪漫飘逸半身裙春2026夏季新品法式气质A字裙520136</x:v>
      </x:c>
      <x:c r="J1065" s="9" t="str">
        <x:v>阿玛施</x:v>
      </x:c>
      <x:c r="K1065" s="24" t="n">
        <x:v>1332.81</x:v>
      </x:c>
      <x:c r="L1065" s="25" t="e">
        <x:f>HYPERLINK("https://item.taobao.com/item.htm?id=1019932288290","打开商品")</x:f>
        <x:v>HYPERLINK is not implemented. linkLocation=https://item.taobao.com/item.htm?id=1019932288290, friendlyName=打开商品</x:v>
      </x:c>
      <x:c r="M1065" s="25" t="e">
        <x:f>HYPERLINK("https://data.zhiyitech.cn/itemDetail/overview/base?itemId=1019932288290","打开知衣")</x:f>
        <x:v>HYPERLINK is not implemented. linkLocation=https://data.zhiyitech.cn/itemDetail/overview/base?itemId=1019932288290, friendlyName=打开知衣</x:v>
      </x:c>
      <x:c r="N1065" s="25" t="e">
        <x:f>HYPERLINK("https://img.alicdn.com/bao/uploaded/i2/2218731364931/O1CN01vvq8ophBlQL2vH2e_!!4611686018427380291-0-item_pic.jpg","查看主图")</x:f>
        <x:v>HYPERLINK is not implemented. linkLocation=https://img.alicdn.com/bao/uploaded/i2/2218731364931/O1CN01vvq8ophBlQL2vH2e_!!4611686018427380291-0-item_pic.jpg, friendlyName=查看主图</x:v>
      </x:c>
      <x:c r="O1065" s="9" t="str">
        <x:v>标题及既有类目语义复核；阿玛施白月光浪漫飘逸半身裙春2026夏季新品法式气质A字裙520136；原类目及标题已能确认半身裙；展示使用已知大类，未知裙长下沉到结构字段，不强猜长短。</x:v>
      </x:c>
      <x:c r="P1065" s="9" t="str">
        <x:v>普通男女装</x:v>
      </x:c>
      <x:c r="Q1065" s="9" t="str">
        <x:v>W_SKIRTS_AVGPAID_1300_1400_ANNUAL2026.xlsx</x:v>
      </x:c>
      <x:c r="R1065" s="9" t="str">
        <x:v>默认</x:v>
      </x:c>
      <x:c r="S1065" s="9" t="n">
        <x:v>353</x:v>
      </x:c>
      <x:c r="T1065" s="9" t="str">
        <x:v>bd4dae1e08e9eca7ddd0669235bf59107cdc418b9c2898fc16f36a7ab5748692</x:v>
      </x:c>
      <x:c r="U1065" s="9" t="str">
        <x:v>W_SKIRTS_AVGPAID_1300_1400_ANNUAL2026</x:v>
      </x:c>
      <x:c r="V1065" s="9" t="str">
        <x:v>W_SKIRTS_AVGPAID_1300_1400_ANNUAL2026.xlsx / 默认 / 第353行 / SHA256 bd4dae1e08e9eca7ddd0669235bf59107cdc418b9c2898fc16f36a7ab5748692</x:v>
      </x:c>
    </x:row>
    <x:row r="1066" ht="58" customHeight="1">
      <x:c r="A1066" s="23" t="str">
        <x:v>844848893203</x:v>
      </x:c>
      <x:c r="B1066" s="22"/>
      <x:c r="C1066" s="22"/>
      <x:c r="D1066" s="22"/>
      <x:c r="E1066" s="9" t="str">
        <x:v>裙长未明确</x:v>
      </x:c>
      <x:c r="F1066" s="9" t="str">
        <x:v>裙装</x:v>
      </x:c>
      <x:c r="G1066" s="9" t="str">
        <x:v>半身裙</x:v>
      </x:c>
      <x:c r="H1066" s="9" t="str">
        <x:v>女</x:v>
      </x:c>
      <x:c r="I1066" s="9" t="str">
        <x:v>AMASS/阿玛施高腰双排扣A字裙</x:v>
      </x:c>
      <x:c r="J1066" s="9" t="str">
        <x:v>阿玛施</x:v>
      </x:c>
      <x:c r="K1066" s="24" t="n">
        <x:v>1773.75</x:v>
      </x:c>
      <x:c r="L1066" s="25" t="e">
        <x:f>HYPERLINK("https://item.taobao.com/item.htm?id=844848893203","打开商品")</x:f>
        <x:v>HYPERLINK is not implemented. linkLocation=https://item.taobao.com/item.htm?id=844848893203, friendlyName=打开商品</x:v>
      </x:c>
      <x:c r="M1066" s="25" t="e">
        <x:f>HYPERLINK("https://data.zhiyitech.cn/itemDetail/overview/base?itemId=844848893203","打开知衣")</x:f>
        <x:v>HYPERLINK is not implemented. linkLocation=https://data.zhiyitech.cn/itemDetail/overview/base?itemId=844848893203, friendlyName=打开知衣</x:v>
      </x:c>
      <x:c r="N1066" s="25" t="e">
        <x:f>HYPERLINK("https://img.alicdn.com/bao/uploaded/i1/2218731364931/O1CN01q9YNxp1mIS1ihKOgt_!!4611686018427380291-0-item_pic.jpg","查看主图")</x:f>
        <x:v>HYPERLINK is not implemented. linkLocation=https://img.alicdn.com/bao/uploaded/i1/2218731364931/O1CN01q9YNxp1mIS1ihKOgt_!!4611686018427380291-0-item_pic.jpg, friendlyName=查看主图</x:v>
      </x:c>
      <x:c r="O1066" s="9" t="str">
        <x:v>标题及既有类目语义复核；AMASS/阿玛施高腰双排扣A字裙；原类目及标题已能确认半身裙；展示使用已知大类，未知裙长下沉到结构字段，不强猜长短。</x:v>
      </x:c>
      <x:c r="P1066" s="9" t="str">
        <x:v>普通男女装</x:v>
      </x:c>
      <x:c r="Q1066" s="9" t="str">
        <x:v>W_SKIRTS_AVGPAID_1700_1800_ANNUAL2026.xlsx</x:v>
      </x:c>
      <x:c r="R1066" s="9" t="str">
        <x:v>默认</x:v>
      </x:c>
      <x:c r="S1066" s="9" t="n">
        <x:v>481</x:v>
      </x:c>
      <x:c r="T1066" s="9" t="str">
        <x:v>c25ed77c53c7c5cfcf728778a0e9b297d8689503f62756a939cbd534ca9b587a</x:v>
      </x:c>
      <x:c r="U1066" s="9" t="str">
        <x:v>W_SKIRTS_AVGPAID_1700_1800_ANNUAL2026</x:v>
      </x:c>
      <x:c r="V1066" s="9" t="str">
        <x:v>W_SKIRTS_AVGPAID_1700_1800_ANNUAL2026.xlsx / 默认 / 第481行 / SHA256 c25ed77c53c7c5cfcf728778a0e9b297d8689503f62756a939cbd534ca9b587a</x:v>
      </x:c>
    </x:row>
    <x:row r="1067" ht="58" customHeight="1">
      <x:c r="A1067" s="23" t="str">
        <x:v>1081736732372</x:v>
      </x:c>
      <x:c r="B1067" s="22"/>
      <x:c r="C1067" s="22"/>
      <x:c r="D1067" s="22"/>
      <x:c r="E1067" s="9" t="str">
        <x:v>裙长未明确</x:v>
      </x:c>
      <x:c r="F1067" s="9" t="str">
        <x:v>裙装</x:v>
      </x:c>
      <x:c r="G1067" s="9" t="str">
        <x:v>半身裙</x:v>
      </x:c>
      <x:c r="H1067" s="9" t="str">
        <x:v>女</x:v>
      </x:c>
      <x:c r="I1067" s="9" t="str">
        <x:v>陈小满原创设计100%绵羊皮花苞裙女2026秋季新款半身裙</x:v>
      </x:c>
      <x:c r="J1067" s="9" t="str">
        <x:v>陈小满</x:v>
      </x:c>
      <x:c r="K1067" s="24" t="n">
        <x:v>1585.7</x:v>
      </x:c>
      <x:c r="L1067" s="25" t="e">
        <x:f>HYPERLINK("https://item.taobao.com/item.htm?id=1081736732372","打开商品")</x:f>
        <x:v>HYPERLINK is not implemented. linkLocation=https://item.taobao.com/item.htm?id=1081736732372, friendlyName=打开商品</x:v>
      </x:c>
      <x:c r="M1067" s="25" t="e">
        <x:f>HYPERLINK("https://data.zhiyitech.cn/itemDetail/overview/base?itemId=1081736732372","打开知衣")</x:f>
        <x:v>HYPERLINK is not implemented. linkLocation=https://data.zhiyitech.cn/itemDetail/overview/base?itemId=1081736732372, friendlyName=打开知衣</x:v>
      </x:c>
      <x:c r="N1067" s="25" t="e">
        <x:f>HYPERLINK("https://img.alicdn.com/bao/uploaded/i2/2659095874/O1CN010ZlnJk7ZJBL32pKq_!!2659095874.jpg","查看主图")</x:f>
        <x:v>HYPERLINK is not implemented. linkLocation=https://img.alicdn.com/bao/uploaded/i2/2659095874/O1CN010ZlnJk7ZJBL32pKq_!!2659095874.jpg, friendlyName=查看主图</x:v>
      </x:c>
      <x:c r="O1067" s="9" t="str">
        <x:v>标题及既有类目语义复核；陈小满原创设计100%绵羊皮花苞裙女2026秋季新款半身裙；原类目及标题已能确认半身裙；展示使用已知大类，未知裙长下沉到结构字段，不强猜长短。</x:v>
      </x:c>
      <x:c r="P1067" s="9" t="str">
        <x:v>普通男女装</x:v>
      </x:c>
      <x:c r="Q1067" s="9" t="str">
        <x:v>W_SKIRTS_AVGPAID_1500_1600_ANNUAL2026.xlsx</x:v>
      </x:c>
      <x:c r="R1067" s="9" t="str">
        <x:v>默认</x:v>
      </x:c>
      <x:c r="S1067" s="9" t="n">
        <x:v>265</x:v>
      </x:c>
      <x:c r="T1067" s="9" t="str">
        <x:v>deede8b56943df4f914be45dba170f12e69064023d6ef0e88dbde1764f6ba23e</x:v>
      </x:c>
      <x:c r="U1067" s="9" t="str">
        <x:v>W_SKIRTS_AVGPAID_1500_1600_ANNUAL2026</x:v>
      </x:c>
      <x:c r="V1067" s="9" t="str">
        <x:v>W_SKIRTS_AVGPAID_1500_1600_ANNUAL2026.xlsx / 默认 / 第265行 / SHA256 deede8b56943df4f914be45dba170f12e69064023d6ef0e88dbde1764f6ba23e</x:v>
      </x:c>
    </x:row>
    <x:row r="1068" ht="58" customHeight="1">
      <x:c r="A1068" s="23" t="str">
        <x:v>1019169870112</x:v>
      </x:c>
      <x:c r="B1068" s="22"/>
      <x:c r="C1068" s="22"/>
      <x:c r="D1068" s="22"/>
      <x:c r="E1068" s="9" t="str">
        <x:v>裙长未明确</x:v>
      </x:c>
      <x:c r="F1068" s="9" t="str">
        <x:v>裙装</x:v>
      </x:c>
      <x:c r="G1068" s="9" t="str">
        <x:v>半身裙</x:v>
      </x:c>
      <x:c r="H1068" s="9" t="str">
        <x:v>女</x:v>
      </x:c>
      <x:c r="I1068" s="9" t="str">
        <x:v>音儿垂顺褶艺肌理显瘦A字半身裙</x:v>
      </x:c>
      <x:c r="J1068" s="9" t="str">
        <x:v>音儿</x:v>
      </x:c>
      <x:c r="K1068" s="24" t="n">
        <x:v>1500.06</x:v>
      </x:c>
      <x:c r="L1068" s="25" t="e">
        <x:f>HYPERLINK("https://item.taobao.com/item.htm?id=1019169870112","打开商品")</x:f>
        <x:v>HYPERLINK is not implemented. linkLocation=https://item.taobao.com/item.htm?id=1019169870112, friendlyName=打开商品</x:v>
      </x:c>
      <x:c r="M1068" s="25" t="e">
        <x:f>HYPERLINK("https://data.zhiyitech.cn/itemDetail/overview/base?itemId=1019169870112","打开知衣")</x:f>
        <x:v>HYPERLINK is not implemented. linkLocation=https://data.zhiyitech.cn/itemDetail/overview/base?itemId=1019169870112, friendlyName=打开知衣</x:v>
      </x:c>
      <x:c r="N1068" s="25" t="e">
        <x:f>HYPERLINK("https://img.alicdn.com/bao/uploaded/i2/504729396/O1CN01xXVcre5M53I1chua_!!504729396.jpg","查看主图")</x:f>
        <x:v>HYPERLINK is not implemented. linkLocation=https://img.alicdn.com/bao/uploaded/i2/504729396/O1CN01xXVcre5M53I1chua_!!504729396.jpg, friendlyName=查看主图</x:v>
      </x:c>
      <x:c r="O1068" s="9" t="str">
        <x:v>标题及既有类目语义复核；音儿垂顺褶艺肌理显瘦A字半身裙；原类目及标题已能确认半身裙；展示使用已知大类，未知裙长下沉到结构字段，不强猜长短。</x:v>
      </x:c>
      <x:c r="P1068" s="9" t="str">
        <x:v>普通男女装</x:v>
      </x:c>
      <x:c r="Q1068" s="9" t="str">
        <x:v>W_SKIRTS_AVGPAID_1500_1600_ANNUAL2026.xlsx</x:v>
      </x:c>
      <x:c r="R1068" s="9" t="str">
        <x:v>默认</x:v>
      </x:c>
      <x:c r="S1068" s="9" t="n">
        <x:v>449</x:v>
      </x:c>
      <x:c r="T1068" s="9" t="str">
        <x:v>deede8b56943df4f914be45dba170f12e69064023d6ef0e88dbde1764f6ba23e</x:v>
      </x:c>
      <x:c r="U1068" s="9" t="str">
        <x:v>W_SKIRTS_AVGPAID_1500_1600_ANNUAL2026</x:v>
      </x:c>
      <x:c r="V1068" s="9" t="str">
        <x:v>W_SKIRTS_AVGPAID_1500_1600_ANNUAL2026.xlsx / 默认 / 第449行 / SHA256 deede8b56943df4f914be45dba170f12e69064023d6ef0e88dbde1764f6ba23e</x:v>
      </x:c>
    </x:row>
    <x:row r="1069" ht="58" customHeight="1">
      <x:c r="A1069" s="23" t="str">
        <x:v>1051390317838</x:v>
      </x:c>
      <x:c r="B1069" s="22"/>
      <x:c r="C1069" s="22"/>
      <x:c r="D1069" s="22"/>
      <x:c r="E1069" s="9" t="str">
        <x:v>裙长未明确</x:v>
      </x:c>
      <x:c r="F1069" s="9" t="str">
        <x:v>裙装</x:v>
      </x:c>
      <x:c r="G1069" s="9" t="str">
        <x:v>半身裙</x:v>
      </x:c>
      <x:c r="H1069" s="9" t="str">
        <x:v>女</x:v>
      </x:c>
      <x:c r="I1069" s="9" t="str">
        <x:v>【花园系列】YINER音儿2026夏季新款时尚优雅百搭蛋糕褶艺半身裙</x:v>
      </x:c>
      <x:c r="J1069" s="9" t="str">
        <x:v>音儿</x:v>
      </x:c>
      <x:c r="K1069" s="24" t="n">
        <x:v>1350.02</x:v>
      </x:c>
      <x:c r="L1069" s="25" t="e">
        <x:f>HYPERLINK("https://item.taobao.com/item.htm?id=1051390317838","打开商品")</x:f>
        <x:v>HYPERLINK is not implemented. linkLocation=https://item.taobao.com/item.htm?id=1051390317838, friendlyName=打开商品</x:v>
      </x:c>
      <x:c r="M1069" s="25" t="e">
        <x:f>HYPERLINK("https://data.zhiyitech.cn/itemDetail/overview/base?itemId=1051390317838","打开知衣")</x:f>
        <x:v>HYPERLINK is not implemented. linkLocation=https://data.zhiyitech.cn/itemDetail/overview/base?itemId=1051390317838, friendlyName=打开知衣</x:v>
      </x:c>
      <x:c r="N1069" s="25" t="e">
        <x:f>HYPERLINK("https://img.alicdn.com/bao/uploaded/i4/504729396/O1CN01EszjdFjWfkE1chua_!!504729396.jpg","查看主图")</x:f>
        <x:v>HYPERLINK is not implemented. linkLocation=https://img.alicdn.com/bao/uploaded/i4/504729396/O1CN01EszjdFjWfkE1chua_!!504729396.jpg, friendlyName=查看主图</x:v>
      </x:c>
      <x:c r="O1069" s="9" t="str">
        <x:v>标题及既有类目语义复核；【花园系列】YINER音儿2026夏季新款时尚优雅百搭蛋糕褶艺半身裙；原类目及标题已能确认半身裙；展示使用已知大类，未知裙长下沉到结构字段，不强猜长短。</x:v>
      </x:c>
      <x:c r="P1069" s="9" t="str">
        <x:v>普通男女装</x:v>
      </x:c>
      <x:c r="Q1069" s="9" t="str">
        <x:v>W_SKIRTS_AVGPAID_1300_1400_ANNUAL2026.xlsx</x:v>
      </x:c>
      <x:c r="R1069" s="9" t="str">
        <x:v>默认</x:v>
      </x:c>
      <x:c r="S1069" s="9" t="n">
        <x:v>283</x:v>
      </x:c>
      <x:c r="T1069" s="9" t="str">
        <x:v>bd4dae1e08e9eca7ddd0669235bf59107cdc418b9c2898fc16f36a7ab5748692</x:v>
      </x:c>
      <x:c r="U1069" s="9" t="str">
        <x:v>W_SKIRTS_AVGPAID_1300_1400_ANNUAL2026</x:v>
      </x:c>
      <x:c r="V1069" s="9" t="str">
        <x:v>W_SKIRTS_AVGPAID_1300_1400_ANNUAL2026.xlsx / 默认 / 第283行 / SHA256 bd4dae1e08e9eca7ddd0669235bf59107cdc418b9c2898fc16f36a7ab5748692</x:v>
      </x:c>
    </x:row>
    <x:row r="1070" ht="58" customHeight="1">
      <x:c r="A1070" s="23" t="str">
        <x:v>994141027808</x:v>
      </x:c>
      <x:c r="B1070" s="22"/>
      <x:c r="C1070" s="22"/>
      <x:c r="D1070" s="22"/>
      <x:c r="E1070" s="9" t="str">
        <x:v>裙长未明确</x:v>
      </x:c>
      <x:c r="F1070" s="9" t="str">
        <x:v>裙装</x:v>
      </x:c>
      <x:c r="G1070" s="9" t="str">
        <x:v>半身裙</x:v>
      </x:c>
      <x:c r="H1070" s="9" t="str">
        <x:v>女</x:v>
      </x:c>
      <x:c r="I1070" s="9" t="str">
        <x:v>【悟空粉丝专享】张予曦同款香影格雷系a字半身裙女2025冬季新款</x:v>
      </x:c>
      <x:c r="J1070" s="9" t="str">
        <x:v>香影</x:v>
      </x:c>
      <x:c r="K1070" s="24" t="n">
        <x:v>1336.72</x:v>
      </x:c>
      <x:c r="L1070" s="25" t="e">
        <x:f>HYPERLINK("https://item.taobao.com/item.htm?id=994141027808","打开商品")</x:f>
        <x:v>HYPERLINK is not implemented. linkLocation=https://item.taobao.com/item.htm?id=994141027808, friendlyName=打开商品</x:v>
      </x:c>
      <x:c r="M1070" s="25" t="e">
        <x:f>HYPERLINK("https://data.zhiyitech.cn/itemDetail/overview/base?itemId=994141027808","打开知衣")</x:f>
        <x:v>HYPERLINK is not implemented. linkLocation=https://data.zhiyitech.cn/itemDetail/overview/base?itemId=994141027808, friendlyName=打开知衣</x:v>
      </x:c>
      <x:c r="N1070" s="25" t="e">
        <x:f>HYPERLINK("https://img.alicdn.com/tps/i3/737729038/O1CN01YSk5se2GdSkQvinl9_!!4611686018427386382-0-item_pic.jpg","查看主图")</x:f>
        <x:v>HYPERLINK is not implemented. linkLocation=https://img.alicdn.com/tps/i3/737729038/O1CN01YSk5se2GdSkQvinl9_!!4611686018427386382-0-item_pic.jpg, friendlyName=查看主图</x:v>
      </x:c>
      <x:c r="O1070" s="9" t="str">
        <x:v>标题及既有类目语义复核；【悟空粉丝专享】张予曦同款香影格雷系a字半身裙女2025冬季新款；原类目及标题已能确认半身裙；展示使用已知大类，未知裙长下沉到结构字段，不强猜长短。</x:v>
      </x:c>
      <x:c r="P1070" s="9" t="str">
        <x:v>普通男女装</x:v>
      </x:c>
      <x:c r="Q1070" s="9" t="str">
        <x:v>W_SKIRTS_AVGPAID_1300_1400_ANNUAL2026.xlsx</x:v>
      </x:c>
      <x:c r="R1070" s="9" t="str">
        <x:v>默认</x:v>
      </x:c>
      <x:c r="S1070" s="9" t="n">
        <x:v>115</x:v>
      </x:c>
      <x:c r="T1070" s="9" t="str">
        <x:v>bd4dae1e08e9eca7ddd0669235bf59107cdc418b9c2898fc16f36a7ab5748692</x:v>
      </x:c>
      <x:c r="U1070" s="9" t="str">
        <x:v>W_SKIRTS_AVGPAID_1300_1400_ANNUAL2026</x:v>
      </x:c>
      <x:c r="V1070" s="9" t="str">
        <x:v>W_SKIRTS_AVGPAID_1300_1400_ANNUAL2026.xlsx / 默认 / 第115行 / SHA256 bd4dae1e08e9eca7ddd0669235bf59107cdc418b9c2898fc16f36a7ab5748692</x:v>
      </x:c>
    </x:row>
  </x:sheetData>
  <x:dataValidations count="1">
    <x:dataValidation type="list" sqref="B7:B1070">
      <x:formula1>"长裤,短裤,紧身裤,裙装,裤装,无法确认"</x:formula1>
    </x:dataValidation>
  </x:dataValidations>
  <x:pageMargins left="0.7" right="0.7" top="0.75" bottom="0.75" header="0.3" footer="0.3"/>
  <x:tableParts count="1">
    <x:tablePart xmlns:r="http://schemas.openxmlformats.org/officeDocument/2006/relationships" r:id="Re8b4e94dc0604a4d"/>
  </x:tableParts>
</x:worksheet>
</file>

<file path=xl/worksheets/sheet3.xml><?xml version="1.0" encoding="utf-8"?>
<x:worksheet xmlns:x="http://schemas.openxmlformats.org/spreadsheetml/2006/main">
  <x:sheetPr>
    <x:tabColor rgb="FF2E4845"/>
  </x:sheetPr>
  <x:sheetViews>
    <x:sheetView showGridLines="0" workbookViewId="0">
      <x:pane xSplit="2" ySplit="6" topLeftCell="C7" activePane="bottomRight" state="frozen"/>
    </x:sheetView>
  </x:sheetViews>
  <x:sheetFormatPr defaultRowHeight="15"/>
  <x:cols>
    <x:col min="1" max="1" width="21" hidden="0" customWidth="1"/>
    <x:col min="2" max="2" width="25" hidden="0" customWidth="1"/>
    <x:col min="3" max="3" width="17" hidden="0" customWidth="1"/>
    <x:col min="4" max="4" width="74" hidden="0" customWidth="1"/>
    <x:col min="5" max="5" width="24" hidden="0" customWidth="1"/>
    <x:col min="6" max="6" width="24" hidden="0" customWidth="1"/>
    <x:col min="7" max="7" width="24" hidden="0" customWidth="1"/>
    <x:col min="8" max="8" width="62" hidden="0" customWidth="1"/>
    <x:col min="9" max="9" width="28" hidden="0" customWidth="1"/>
    <x:col min="10" max="10" width="55" hidden="0" customWidth="1"/>
    <x:col min="11" max="11" width="31" hidden="0" customWidth="1"/>
    <x:col min="12" max="12" width="24" hidden="0" customWidth="1"/>
    <x:col min="13" max="13" width="35" hidden="0" customWidth="1"/>
  </x:cols>
  <x:sheetData>
    <x:row r="1">
      <x:c r="A1" s="2"/>
      <x:c r="B1" s="2"/>
      <x:c r="C1" s="2"/>
      <x:c r="D1" s="2"/>
      <x:c r="E1" s="2"/>
      <x:c r="F1" s="2"/>
      <x:c r="G1" s="2"/>
      <x:c r="H1" s="2"/>
      <x:c r="I1" s="2"/>
      <x:c r="J1" s="2"/>
      <x:c r="K1" s="2"/>
      <x:c r="L1" s="2"/>
      <x:c r="M1" s="2"/>
    </x:row>
    <x:row r="2" ht="32" customHeight="1">
      <x:c r="A2" s="4" t="str">
        <x:v>功能词基础与补充归类</x:v>
      </x:c>
      <x:c r="B2" s="5"/>
      <x:c r="C2" s="5"/>
      <x:c r="D2" s="5"/>
      <x:c r="E2" s="5"/>
      <x:c r="F2" s="5"/>
      <x:c r="G2" s="5"/>
      <x:c r="H2" s="5"/>
      <x:c r="I2" s="5"/>
      <x:c r="J2" s="5"/>
      <x:c r="K2" s="5"/>
      <x:c r="L2" s="5"/>
      <x:c r="M2" s="5"/>
    </x:row>
    <x:row r="3" ht="23" customHeight="1">
      <x:c r="A3" s="7" t="str">
        <x:v>共 27 个功能词。请只在第二列选择“基础”或“补充”，原有分组保留在第三列。</x:v>
      </x:c>
      <x:c r="B3" s="7"/>
      <x:c r="C3" s="7"/>
      <x:c r="D3" s="7"/>
      <x:c r="E3" s="7"/>
      <x:c r="F3" s="7"/>
      <x:c r="G3" s="7"/>
      <x:c r="H3" s="7"/>
      <x:c r="I3" s="7"/>
      <x:c r="J3" s="7"/>
      <x:c r="K3" s="7"/>
      <x:c r="L3" s="7"/>
      <x:c r="M3" s="7"/>
    </x:row>
    <x:row r="4" ht="23" customHeight="1">
      <x:c r="A4" s="7" t="str">
        <x:v>数量为全体有效样本按商品 ID 去重；合并数为原文与官网科技映射的并集，二者可能重叠。功能宣称不代表该款实测通过。</x:v>
      </x:c>
      <x:c r="B4" s="7"/>
      <x:c r="C4" s="7"/>
      <x:c r="D4" s="7"/>
      <x:c r="E4" s="7"/>
      <x:c r="F4" s="7"/>
      <x:c r="G4" s="7"/>
      <x:c r="H4" s="7"/>
      <x:c r="I4" s="7"/>
      <x:c r="J4" s="7"/>
      <x:c r="K4" s="7"/>
      <x:c r="L4" s="7"/>
      <x:c r="M4" s="7"/>
    </x:row>
    <x:row r="5" ht="10" customHeight="1">
      <x:c r="A5" s="2"/>
      <x:c r="B5" s="2"/>
      <x:c r="C5" s="2"/>
      <x:c r="D5" s="2"/>
      <x:c r="E5" s="2"/>
      <x:c r="F5" s="2"/>
      <x:c r="G5" s="2"/>
      <x:c r="H5" s="2"/>
      <x:c r="I5" s="2"/>
      <x:c r="J5" s="2"/>
      <x:c r="K5" s="2"/>
      <x:c r="L5" s="2"/>
      <x:c r="M5" s="2"/>
    </x:row>
    <x:row r="6" ht="36" customHeight="1">
      <x:c r="A6" s="18" t="str">
        <x:v>功能词</x:v>
      </x:c>
      <x:c r="B6" s="19" t="str">
        <x:v>人工归类（基础/补充）</x:v>
      </x:c>
      <x:c r="C6" s="19" t="str">
        <x:v>当前归类</x:v>
      </x:c>
      <x:c r="D6" s="19" t="str">
        <x:v>功能说明／范围</x:v>
      </x:c>
      <x:c r="E6" s="19" t="str">
        <x:v>原文直接提及商品数</x:v>
      </x:c>
      <x:c r="F6" s="19" t="str">
        <x:v>官网科技映射商品数</x:v>
      </x:c>
      <x:c r="G6" s="19" t="str">
        <x:v>合并去重商品数</x:v>
      </x:c>
      <x:c r="H6" s="19" t="str">
        <x:v>代表商品原文</x:v>
      </x:c>
      <x:c r="I6" s="19" t="str">
        <x:v>代表商品链接</x:v>
      </x:c>
      <x:c r="J6" s="19" t="str">
        <x:v>关联官网精细功能</x:v>
      </x:c>
      <x:c r="K6" s="19" t="str">
        <x:v>代表官网来源链接</x:v>
      </x:c>
      <x:c r="L6" s="19" t="str">
        <x:v>检测方法ID</x:v>
      </x:c>
      <x:c r="M6" s="20" t="str">
        <x:v>人工备注</x:v>
      </x:c>
    </x:row>
    <x:row r="7" ht="58" customHeight="1">
      <x:c r="A7" s="9" t="str">
        <x:v>耐磨</x:v>
      </x:c>
      <x:c r="B7" s="22"/>
      <x:c r="C7" s="9" t="str">
        <x:v>基础</x:v>
      </x:c>
      <x:c r="D7" s="9" t="str">
        <x:v>材料经反复摩擦后抵抗磨损、磨破的能力；不是耐撕裂，也不是不易起球。</x:v>
      </x:c>
      <x:c r="E7" s="26" t="n">
        <x:v>379</x:v>
      </x:c>
      <x:c r="F7" s="26" t="n">
        <x:v>138</x:v>
      </x:c>
      <x:c r="G7" s="26" t="n">
        <x:v>435</x:v>
      </x:c>
      <x:c r="H7" s="9" t="str">
        <x:v>【26款】KAILAS凯乐石T10-LT软壳裤男女耐磨透气秋轻薄徒步休闲裤</x:v>
      </x:c>
      <x:c r="I7" s="25" t="e">
        <x:f>HYPERLINK("https://item.taobao.com/item.htm?id=1012701224573","查看代表商品")</x:f>
        <x:v>HYPERLINK is not implemented. linkLocation=https://item.taobao.com/item.htm?id=1012701224573, friendlyName=查看代表商品</x:v>
      </x:c>
      <x:c r="J7" s="9" t="str">
        <x:v>耐磨</x:v>
      </x:c>
      <x:c r="K7" s="25" t="e">
        <x:f>HYPERLINK("https://cordura.com/faq","查看官网说明")</x:f>
        <x:v>HYPERLINK is not implemented. linkLocation=https://cordura.com/faq, friendlyName=查看官网说明</x:v>
      </x:c>
      <x:c r="L7" s="9" t="str">
        <x:v>F01</x:v>
      </x:c>
      <x:c r="M7" s="22"/>
    </x:row>
    <x:row r="8" ht="58" customHeight="1">
      <x:c r="A8" s="9" t="str">
        <x:v>防晒</x:v>
      </x:c>
      <x:c r="B8" s="22"/>
      <x:c r="C8" s="9" t="str">
        <x:v>基础</x:v>
      </x:c>
      <x:c r="D8" s="9" t="str">
        <x:v>面料减少太阳紫外线穿透的能力，报告通常同时看UPF与UVA透射。</x:v>
      </x:c>
      <x:c r="E8" s="26" t="n">
        <x:v>317</x:v>
      </x:c>
      <x:c r="F8" s="26" t="n">
        <x:v>0</x:v>
      </x:c>
      <x:c r="G8" s="26" t="n">
        <x:v>317</x:v>
      </x:c>
      <x:c r="H8" s="9" t="str">
        <x:v>防晒</x:v>
      </x:c>
      <x:c r="I8" s="25" t="e">
        <x:f>HYPERLINK("https://item.taobao.com/item.htm?id=997832971206","查看代表商品")</x:f>
        <x:v>HYPERLINK is not implemented. linkLocation=https://item.taobao.com/item.htm?id=997832971206, friendlyName=查看代表商品</x:v>
      </x:c>
      <x:c r="J8" s="9" t="str"/>
      <x:c r="K8" s="25" t="str"/>
      <x:c r="L8" s="9" t="str">
        <x:v>F02</x:v>
      </x:c>
      <x:c r="M8" s="22"/>
    </x:row>
    <x:row r="9" ht="58" customHeight="1">
      <x:c r="A9" s="9" t="str">
        <x:v>弹力延展</x:v>
      </x:c>
      <x:c r="B9" s="22"/>
      <x:c r="C9" s="9" t="str">
        <x:v>基础</x:v>
      </x:c>
      <x:c r="D9" s="9" t="str">
        <x:v>拉得开是伸长表现；松手后恢复得好是回复表现，两者要分别定义。</x:v>
      </x:c>
      <x:c r="E9" s="26" t="n">
        <x:v>1039</x:v>
      </x:c>
      <x:c r="F9" s="26" t="n">
        <x:v>94</x:v>
      </x:c>
      <x:c r="G9" s="26" t="n">
        <x:v>1131</x:v>
      </x:c>
      <x:c r="H9" s="9" t="str">
        <x:v>有弹性</x:v>
      </x:c>
      <x:c r="I9" s="25" t="e">
        <x:f>HYPERLINK("https://item.taobao.com/item.htm?id=1006714303783","查看代表商品")</x:f>
        <x:v>HYPERLINK is not implemented. linkLocation=https://item.taobao.com/item.htm?id=1006714303783, friendlyName=查看代表商品</x:v>
      </x:c>
      <x:c r="J9" s="9" t="str">
        <x:v>四面弹；弹力延展</x:v>
      </x:c>
      <x:c r="K9" s="25" t="e">
        <x:f>HYPERLINK("https://shop.lululemon.com/p/softstreme-hr-straight-leg-crop/zhbbqzul7d?color=38470&amp;locale=en_US&amp;sl=US&amp;sz=4","查看官网说明")</x:f>
        <x:v>HYPERLINK is not implemented. linkLocation=https://shop.lululemon.com/p/softstreme-hr-straight-leg-crop/zhbbqzul7d?color=38470&amp;locale=en_US&amp;sl=US&amp;sz=4, friendlyName=查看官网说明</x:v>
      </x:c>
      <x:c r="L9" s="9" t="str">
        <x:v>F03</x:v>
      </x:c>
      <x:c r="M9" s="22"/>
    </x:row>
    <x:row r="10" ht="58" customHeight="1">
      <x:c r="A10" s="9" t="str">
        <x:v>舒适</x:v>
      </x:c>
      <x:c r="B10" s="22"/>
      <x:c r="C10" s="9" t="str">
        <x:v>基础</x:v>
      </x:c>
      <x:c r="D10" s="9" t="str">
        <x:v>消费者综合穿着感受，可能包括热湿、压力、触感、活动便利和版型合体，不能用单一含量或一个试验包办。</x:v>
      </x:c>
      <x:c r="E10" s="26" t="n">
        <x:v>791</x:v>
      </x:c>
      <x:c r="F10" s="26" t="n">
        <x:v>67</x:v>
      </x:c>
      <x:c r="G10" s="26" t="n">
        <x:v>858</x:v>
      </x:c>
      <x:c r="H10" s="9" t="str">
        <x:v>柔软亲肤</x:v>
      </x:c>
      <x:c r="I10" s="25" t="e">
        <x:f>HYPERLINK("https://item.taobao.com/item.htm?id=967714584779","查看代表商品")</x:f>
        <x:v>HYPERLINK is not implemented. linkLocation=https://item.taobao.com/item.htm?id=967714584779, friendlyName=查看代表商品</x:v>
      </x:c>
      <x:c r="J10" s="9" t="str">
        <x:v>柔软触感</x:v>
      </x:c>
      <x:c r="K10" s="25" t="e">
        <x:f>HYPERLINK("https://shop.lululemon.com/p/softstreme-hr-straight-leg-crop/zhbbqzul7d?color=38470&amp;locale=en_US&amp;sl=US&amp;sz=4","查看官网说明")</x:f>
        <x:v>HYPERLINK is not implemented. linkLocation=https://shop.lululemon.com/p/softstreme-hr-straight-leg-crop/zhbbqzul7d?color=38470&amp;locale=en_US&amp;sl=US&amp;sz=4, friendlyName=查看官网说明</x:v>
      </x:c>
      <x:c r="L10" s="9" t="str">
        <x:v>F04</x:v>
      </x:c>
      <x:c r="M10" s="22"/>
    </x:row>
    <x:row r="11" ht="58" customHeight="1">
      <x:c r="A11" s="9" t="str">
        <x:v>吸湿速干</x:v>
      </x:c>
      <x:c r="B11" s="22"/>
      <x:c r="C11" s="9" t="str">
        <x:v>基础</x:v>
      </x:c>
      <x:c r="D11" s="9" t="str">
        <x:v>吸收/扩散水分和使水分干燥是不同环节；排汗方向性又是另一个测量维度。</x:v>
      </x:c>
      <x:c r="E11" s="26" t="n">
        <x:v>390</x:v>
      </x:c>
      <x:c r="F11" s="26" t="n">
        <x:v>57</x:v>
      </x:c>
      <x:c r="G11" s="26" t="n">
        <x:v>427</x:v>
      </x:c>
      <x:c r="H11" s="9" t="str">
        <x:v>LACOSTE法国鳄鱼男装26夏季新款速干舒适复古运动长裤卫裤|XH0194</x:v>
      </x:c>
      <x:c r="I11" s="25" t="e">
        <x:f>HYPERLINK("https://item.taobao.com/item.htm?id=1018634854559","查看代表商品")</x:f>
        <x:v>HYPERLINK is not implemented. linkLocation=https://item.taobao.com/item.htm?id=1018634854559, friendlyName=查看代表商品</x:v>
      </x:c>
      <x:c r="J11" s="9" t="str">
        <x:v>吸湿排汗；吸湿排汗、速干；速干</x:v>
      </x:c>
      <x:c r="K11" s="25" t="e">
        <x:f>HYPERLINK("https://shop.lululemon.com/p/softstreme-hr-straight-leg-crop/zhbbqzul7d?color=38470&amp;locale=en_US&amp;sl=US&amp;sz=4","查看官网说明")</x:f>
        <x:v>HYPERLINK is not implemented. linkLocation=https://shop.lululemon.com/p/softstreme-hr-straight-leg-crop/zhbbqzul7d?color=38470&amp;locale=en_US&amp;sl=US&amp;sz=4, friendlyName=查看官网说明</x:v>
      </x:c>
      <x:c r="L11" s="9" t="str">
        <x:v>F05</x:v>
      </x:c>
      <x:c r="M11" s="22"/>
    </x:row>
    <x:row r="12" ht="58" customHeight="1">
      <x:c r="A12" s="9" t="str">
        <x:v>透气</x:v>
      </x:c>
      <x:c r="B12" s="22"/>
      <x:c r="C12" s="9" t="str">
        <x:v>基础</x:v>
      </x:c>
      <x:c r="D12" s="9" t="str">
        <x:v>在规定压差下空气穿过材料的能力；不同于水蒸气透过，即透湿。</x:v>
      </x:c>
      <x:c r="E12" s="26" t="n">
        <x:v>680</x:v>
      </x:c>
      <x:c r="F12" s="26" t="n">
        <x:v>39</x:v>
      </x:c>
      <x:c r="G12" s="26" t="n">
        <x:v>718</x:v>
      </x:c>
      <x:c r="H12" s="9" t="str">
        <x:v>【26款】KAILAS凯乐石T10-LT软壳裤男女耐磨透气秋轻薄徒步休闲裤</x:v>
      </x:c>
      <x:c r="I12" s="25" t="e">
        <x:f>HYPERLINK("https://item.taobao.com/item.htm?id=1012701224573","查看代表商品")</x:f>
        <x:v>HYPERLINK is not implemented. linkLocation=https://item.taobao.com/item.htm?id=1012701224573, friendlyName=查看代表商品</x:v>
      </x:c>
      <x:c r="J12" s="9" t="str">
        <x:v>空气透过；透气</x:v>
      </x:c>
      <x:c r="K12" s="25" t="e">
        <x:f>HYPERLINK("https://www.lululemon.de/en-de/c/womens/product-guides/womens-bottoms","查看官网说明")</x:f>
        <x:v>HYPERLINK is not implemented. linkLocation=https://www.lululemon.de/en-de/c/womens/product-guides/womens-bottoms, friendlyName=查看官网说明</x:v>
      </x:c>
      <x:c r="L12" s="9" t="str">
        <x:v>F06</x:v>
      </x:c>
      <x:c r="M12" s="22"/>
    </x:row>
    <x:row r="13" ht="58" customHeight="1">
      <x:c r="A13" s="9" t="str">
        <x:v>凉感</x:v>
      </x:c>
      <x:c r="B13" s="22"/>
      <x:c r="C13" s="9" t="str">
        <x:v>基础</x:v>
      </x:c>
      <x:c r="D13" s="9" t="str">
        <x:v>主要指皮肤刚接触材料时的热量传递感受；“接触瞬间凉感”不等于持续降温。</x:v>
      </x:c>
      <x:c r="E13" s="26" t="n">
        <x:v>234</x:v>
      </x:c>
      <x:c r="F13" s="26" t="n">
        <x:v>3</x:v>
      </x:c>
      <x:c r="G13" s="26" t="n">
        <x:v>237</x:v>
      </x:c>
      <x:c r="H13" s="9" t="str">
        <x:v>接触凉感</x:v>
      </x:c>
      <x:c r="I13" s="25" t="e">
        <x:f>HYPERLINK("https://item.taobao.com/item.htm?id=889560147119","查看代表商品")</x:f>
        <x:v>HYPERLINK is not implemented. linkLocation=https://item.taobao.com/item.htm?id=889560147119, friendlyName=查看代表商品</x:v>
      </x:c>
      <x:c r="J13" s="9" t="str">
        <x:v>凉爽触感</x:v>
      </x:c>
      <x:c r="K13" s="25" t="e">
        <x:f>HYPERLINK("https://www.lululemon.co.uk/en-gb/c/mens/product-guides/our-fabric-and-technology","查看官网说明")</x:f>
        <x:v>HYPERLINK is not implemented. linkLocation=https://www.lululemon.co.uk/en-gb/c/mens/product-guides/our-fabric-and-technology, friendlyName=查看官网说明</x:v>
      </x:c>
      <x:c r="L13" s="9" t="str">
        <x:v>F07</x:v>
      </x:c>
      <x:c r="M13" s="22"/>
    </x:row>
    <x:row r="14" ht="58" customHeight="1">
      <x:c r="A14" s="9" t="str">
        <x:v>防泼水</x:v>
      </x:c>
      <x:c r="B14" s="22"/>
      <x:c r="C14" s="9" t="str">
        <x:v>基础</x:v>
      </x:c>
      <x:c r="D14" s="9" t="str">
        <x:v>材料表面不容易被水打湿的表现，通常表现为水珠滚落或表面沾水较少。</x:v>
      </x:c>
      <x:c r="E14" s="26" t="n">
        <x:v>869</x:v>
      </x:c>
      <x:c r="F14" s="26" t="n">
        <x:v>0</x:v>
      </x:c>
      <x:c r="G14" s="26" t="n">
        <x:v>869</x:v>
      </x:c>
      <x:c r="H14" s="9" t="str">
        <x:v>【防泼水 速干裤】BOSS博斯 男士隐藏式抽绳锥形裤腿休闲裤</x:v>
      </x:c>
      <x:c r="I14" s="25" t="e">
        <x:f>HYPERLINK("https://item.taobao.com/item.htm?id=726131904303","查看代表商品")</x:f>
        <x:v>HYPERLINK is not implemented. linkLocation=https://item.taobao.com/item.htm?id=726131904303, friendlyName=查看代表商品</x:v>
      </x:c>
      <x:c r="J14" s="9" t="str"/>
      <x:c r="K14" s="25" t="str"/>
      <x:c r="L14" s="9" t="str">
        <x:v>F08</x:v>
      </x:c>
      <x:c r="M14" s="22"/>
    </x:row>
    <x:row r="15" ht="58" customHeight="1">
      <x:c r="A15" s="9" t="str">
        <x:v>防水</x:v>
      </x:c>
      <x:c r="B15" s="22"/>
      <x:c r="C15" s="9" t="str">
        <x:v>基础</x:v>
      </x:c>
      <x:c r="D15" s="9" t="str">
        <x:v>材料抵抗水渗透的表现；成衣是否漏水还受缝线、拉链和结构影响。</x:v>
      </x:c>
      <x:c r="E15" s="26" t="n">
        <x:v>266</x:v>
      </x:c>
      <x:c r="F15" s="26" t="n">
        <x:v>3</x:v>
      </x:c>
      <x:c r="G15" s="26" t="n">
        <x:v>268</x:v>
      </x:c>
      <x:c r="H15" s="9" t="str">
        <x:v>GOLDWIN 25AW NIMBLE TECH TAPERED PANTS 防水休闲长裤 GM75155</x:v>
      </x:c>
      <x:c r="I15" s="25" t="e">
        <x:f>HYPERLINK("https://item.taobao.com/item.htm?id=892978533533","查看代表商品")</x:f>
        <x:v>HYPERLINK is not implemented. linkLocation=https://item.taobao.com/item.htm?id=892978533533, friendlyName=查看代表商品</x:v>
      </x:c>
      <x:c r="J15" s="9" t="str">
        <x:v>防水</x:v>
      </x:c>
      <x:c r="K15" s="25" t="e">
        <x:f>HYPERLINK("https://www.toray.com/news/article.html?contentId=8h8pg3c9","查看官网说明")</x:f>
        <x:v>HYPERLINK is not implemented. linkLocation=https://www.toray.com/news/article.html?contentId=8h8pg3c9, friendlyName=查看官网说明</x:v>
      </x:c>
      <x:c r="L15" s="9" t="str">
        <x:v>F09</x:v>
      </x:c>
      <x:c r="M15" s="22"/>
    </x:row>
    <x:row r="16" ht="58" customHeight="1">
      <x:c r="A16" s="9" t="str">
        <x:v>防风</x:v>
      </x:c>
      <x:c r="B16" s="22"/>
      <x:c r="C16" s="9" t="str">
        <x:v>基础</x:v>
      </x:c>
      <x:c r="D16" s="9" t="str">
        <x:v>减少空气穿过材料的能力，通常通过低透气率等指标评估；穿着防风还受结构影响。</x:v>
      </x:c>
      <x:c r="E16" s="26" t="n">
        <x:v>653</x:v>
      </x:c>
      <x:c r="F16" s="26" t="n">
        <x:v>4</x:v>
      </x:c>
      <x:c r="G16" s="26" t="n">
        <x:v>655</x:v>
      </x:c>
      <x:c r="H16" s="9" t="str">
        <x:v>KAILAS凯乐石软壳裤CORDURA防风耐磨户外登山徒步运动裤休闲男款</x:v>
      </x:c>
      <x:c r="I16" s="25" t="e">
        <x:f>HYPERLINK("https://item.taobao.com/item.htm?id=766661808213","查看代表商品")</x:f>
        <x:v>HYPERLINK is not implemented. linkLocation=https://item.taobao.com/item.htm?id=766661808213, friendlyName=查看代表商品</x:v>
      </x:c>
      <x:c r="J16" s="9" t="str">
        <x:v>防风</x:v>
      </x:c>
      <x:c r="K16" s="25" t="e">
        <x:f>HYPERLINK("https://pertex.com/fabrics-technologies/shield-air","查看官网说明")</x:f>
        <x:v>HYPERLINK is not implemented. linkLocation=https://pertex.com/fabrics-technologies/shield-air, friendlyName=查看官网说明</x:v>
      </x:c>
      <x:c r="L16" s="9" t="str">
        <x:v>F10</x:v>
      </x:c>
      <x:c r="M16" s="22"/>
    </x:row>
    <x:row r="17" ht="58" customHeight="1">
      <x:c r="A17" s="9" t="str">
        <x:v>保暖</x:v>
      </x:c>
      <x:c r="B17" s="22"/>
      <x:c r="C17" s="9" t="str">
        <x:v>基础</x:v>
      </x:c>
      <x:c r="D17" s="9" t="str">
        <x:v>减少人体向外散热的能力；保暖、吸湿发热、远红外是不同的表述与试验对象。</x:v>
      </x:c>
      <x:c r="E17" s="26" t="n">
        <x:v>547</x:v>
      </x:c>
      <x:c r="F17" s="26" t="n">
        <x:v>6</x:v>
      </x:c>
      <x:c r="G17" s="26" t="n">
        <x:v>548</x:v>
      </x:c>
      <x:c r="H17" s="9" t="str">
        <x:v>EMZ鄂尔多斯【内磨毛】秋冬新款加厚保暖百搭宽松直筒休闲长裤男</x:v>
      </x:c>
      <x:c r="I17" s="25" t="e">
        <x:f>HYPERLINK("https://item.taobao.com/item.htm?id=967714584779","查看代表商品")</x:f>
        <x:v>HYPERLINK is not implemented. linkLocation=https://item.taobao.com/item.htm?id=967714584779, friendlyName=查看代表商品</x:v>
      </x:c>
      <x:c r="J17" s="9" t="str">
        <x:v>保暖</x:v>
      </x:c>
      <x:c r="K17" s="25" t="e">
        <x:f>HYPERLINK("https://www.polartec.com/fabrics/insulation/alpha","查看官网说明")</x:f>
        <x:v>HYPERLINK is not implemented. linkLocation=https://www.polartec.com/fabrics/insulation/alpha, friendlyName=查看官网说明</x:v>
      </x:c>
      <x:c r="L17" s="9" t="str">
        <x:v>F11</x:v>
      </x:c>
      <x:c r="M17" s="22"/>
    </x:row>
    <x:row r="18" ht="58" customHeight="1">
      <x:c r="A18" s="9" t="str">
        <x:v>轻量</x:v>
      </x:c>
      <x:c r="B18" s="22"/>
      <x:c r="C18" s="9" t="str">
        <x:v>基础</x:v>
      </x:c>
      <x:c r="D18" s="9" t="str">
        <x:v>质量低或相对某个对照更轻。必须说明是每平方米面料质量还是指定尺码整件质量。</x:v>
      </x:c>
      <x:c r="E18" s="26" t="n">
        <x:v>635</x:v>
      </x:c>
      <x:c r="F18" s="26" t="n">
        <x:v>13</x:v>
      </x:c>
      <x:c r="G18" s="26" t="n">
        <x:v>647</x:v>
      </x:c>
      <x:c r="H18" s="9" t="str">
        <x:v>【26款】KAILAS凯乐石T10-LT软壳裤男女耐磨透气秋轻薄徒步休闲裤</x:v>
      </x:c>
      <x:c r="I18" s="25" t="e">
        <x:f>HYPERLINK("https://item.taobao.com/item.htm?id=1012701224573","查看代表商品")</x:f>
        <x:v>HYPERLINK is not implemented. linkLocation=https://item.taobao.com/item.htm?id=1012701224573, friendlyName=查看代表商品</x:v>
      </x:c>
      <x:c r="J18" s="9" t="str">
        <x:v>轻盈；轻量</x:v>
      </x:c>
      <x:c r="K18" s="25" t="e">
        <x:f>HYPERLINK("https://pertex.com/fabrics-technologies/shield-air","查看官网说明")</x:f>
        <x:v>HYPERLINK is not implemented. linkLocation=https://pertex.com/fabrics-technologies/shield-air, friendlyName=查看官网说明</x:v>
      </x:c>
      <x:c r="L18" s="9" t="str">
        <x:v>F12</x:v>
      </x:c>
      <x:c r="M18" s="22"/>
    </x:row>
    <x:row r="19" ht="58" customHeight="1">
      <x:c r="A19" s="9" t="str">
        <x:v>抗皱</x:v>
      </x:c>
      <x:c r="B19" s="22"/>
      <x:c r="C19" s="9" t="str">
        <x:v>基础</x:v>
      </x:c>
      <x:c r="D19" s="9" t="str">
        <x:v>受折压后回复较好，或洗后表面较平整；不同宣传情境应选不同指标。</x:v>
      </x:c>
      <x:c r="E19" s="26" t="n">
        <x:v>63</x:v>
      </x:c>
      <x:c r="F19" s="26" t="n">
        <x:v>43</x:v>
      </x:c>
      <x:c r="G19" s="26" t="n">
        <x:v>103</x:v>
      </x:c>
      <x:c r="H19" s="9" t="str">
        <x:v>【日本冈山】老钱风通勤休闲裤男秋冬新款抗皱直筒西裤醋酸羊毛</x:v>
      </x:c>
      <x:c r="I19" s="25" t="e">
        <x:f>HYPERLINK("https://item.taobao.com/item.htm?id=1093000248329","查看代表商品")</x:f>
        <x:v>HYPERLINK is not implemented. linkLocation=https://item.taobao.com/item.htm?id=1093000248329, friendlyName=查看代表商品</x:v>
      </x:c>
      <x:c r="J19" s="9" t="str">
        <x:v>抗皱</x:v>
      </x:c>
      <x:c r="K19" s="25" t="e">
        <x:f>HYPERLINK("https://shop.lululemon.com/p/abc-classic-fit-trouser-37-warpstreme/sim3dxdt01?color=31382","查看官网说明")</x:f>
        <x:v>HYPERLINK is not implemented. linkLocation=https://shop.lululemon.com/p/abc-classic-fit-trouser-37-warpstreme/sim3dxdt01?color=31382, friendlyName=查看官网说明</x:v>
      </x:c>
      <x:c r="L19" s="9" t="str">
        <x:v>F13</x:v>
      </x:c>
      <x:c r="M19" s="22"/>
    </x:row>
    <x:row r="20" ht="58" customHeight="1">
      <x:c r="A20" s="9" t="str">
        <x:v>抗起球</x:v>
      </x:c>
      <x:c r="B20" s="22"/>
      <x:c r="C20" s="9" t="str">
        <x:v>基础</x:v>
      </x:c>
      <x:c r="D20" s="9" t="str">
        <x:v>织物表面在摩擦后产生绒毛和小球的倾向较低，属于表面外观耐久表现。</x:v>
      </x:c>
      <x:c r="E20" s="26" t="n">
        <x:v>6</x:v>
      </x:c>
      <x:c r="F20" s="26" t="n">
        <x:v>0</x:v>
      </x:c>
      <x:c r="G20" s="26" t="n">
        <x:v>6</x:v>
      </x:c>
      <x:c r="H20" s="9" t="str">
        <x:v>抗起球</x:v>
      </x:c>
      <x:c r="I20" s="25" t="e">
        <x:f>HYPERLINK("https://item.taobao.com/item.htm?id=1005272539258","查看代表商品")</x:f>
        <x:v>HYPERLINK is not implemented. linkLocation=https://item.taobao.com/item.htm?id=1005272539258, friendlyName=查看代表商品</x:v>
      </x:c>
      <x:c r="J20" s="9" t="str"/>
      <x:c r="K20" s="25" t="str"/>
      <x:c r="L20" s="9" t="str">
        <x:v>F14</x:v>
      </x:c>
      <x:c r="M20" s="22"/>
    </x:row>
    <x:row r="21" ht="58" customHeight="1">
      <x:c r="A21" s="9" t="str">
        <x:v>易打理</x:v>
      </x:c>
      <x:c r="B21" s="22"/>
      <x:c r="C21" s="9" t="str">
        <x:v>补充</x:v>
      </x:c>
      <x:c r="D21" s="9" t="str">
        <x:v>日常维护负担较低的综合说法，需说明具体是易清洗、少熨烫、洗后保形或其他含义。</x:v>
      </x:c>
      <x:c r="E21" s="26" t="n">
        <x:v>46</x:v>
      </x:c>
      <x:c r="F21" s="26" t="n">
        <x:v>0</x:v>
      </x:c>
      <x:c r="G21" s="26" t="n">
        <x:v>46</x:v>
      </x:c>
      <x:c r="H21" s="9" t="str">
        <x:v>【一裤多穿】BOSS博斯 男弹力直筒易打理舒适多色修身休闲裤</x:v>
      </x:c>
      <x:c r="I21" s="25" t="e">
        <x:f>HYPERLINK("https://item.taobao.com/item.htm?id=1032770739770","查看代表商品")</x:f>
        <x:v>HYPERLINK is not implemented. linkLocation=https://item.taobao.com/item.htm?id=1032770739770, friendlyName=查看代表商品</x:v>
      </x:c>
      <x:c r="J21" s="9" t="str"/>
      <x:c r="K21" s="25" t="str"/>
      <x:c r="L21" s="9" t="str">
        <x:v>X_EASY_CARE</x:v>
      </x:c>
      <x:c r="M21" s="22"/>
    </x:row>
    <x:row r="22" ht="58" customHeight="1">
      <x:c r="A22" s="9" t="str">
        <x:v>可机洗</x:v>
      </x:c>
      <x:c r="B22" s="22"/>
      <x:c r="C22" s="9" t="str">
        <x:v>补充</x:v>
      </x:c>
      <x:c r="D22" s="9" t="str">
        <x:v>在明确的家用洗衣机程序、温度、洗涤剂和干燥条件下适合清洗；不是不限制程序或次数的耐洗承诺。</x:v>
      </x:c>
      <x:c r="E22" s="26" t="n">
        <x:v>53</x:v>
      </x:c>
      <x:c r="F22" s="26" t="n">
        <x:v>35</x:v>
      </x:c>
      <x:c r="G22" s="26" t="n">
        <x:v>88</x:v>
      </x:c>
      <x:c r="H22" s="9" t="str">
        <x:v>可机洗</x:v>
      </x:c>
      <x:c r="I22" s="25" t="e">
        <x:f>HYPERLINK("https://item.taobao.com/item.htm?id=1006714303783","查看代表商品")</x:f>
        <x:v>HYPERLINK is not implemented. linkLocation=https://item.taobao.com/item.htm?id=1006714303783, friendlyName=查看代表商品</x:v>
      </x:c>
      <x:c r="J22" s="9" t="str">
        <x:v>可机洗</x:v>
      </x:c>
      <x:c r="K22" s="25" t="e">
        <x:f>HYPERLINK("https://shop.lululemon.com/p/softstreme-hr-straight-leg-crop/zhbbqzul7d?color=38470&amp;locale=en_US&amp;sl=US&amp;sz=4","查看官网说明")</x:f>
        <x:v>HYPERLINK is not implemented. linkLocation=https://shop.lululemon.com/p/softstreme-hr-straight-leg-crop/zhbbqzul7d?color=38470&amp;locale=en_US&amp;sl=US&amp;sz=4, friendlyName=查看官网说明</x:v>
      </x:c>
      <x:c r="L22" s="9" t="str">
        <x:v>C_MACHINE_WASH</x:v>
      </x:c>
      <x:c r="M22" s="22"/>
    </x:row>
    <x:row r="23" ht="58" customHeight="1">
      <x:c r="A23" s="9" t="str">
        <x:v>抗撕裂</x:v>
      </x:c>
      <x:c r="B23" s="22"/>
      <x:c r="C23" s="9" t="str">
        <x:v>补充</x:v>
      </x:c>
      <x:c r="D23" s="9" t="str">
        <x:v>面料已有缺口继续扩展时抵抗撕破的能力，与耐磨、抗拉伸及防刮不同。</x:v>
      </x:c>
      <x:c r="E23" s="26" t="n">
        <x:v>39</x:v>
      </x:c>
      <x:c r="F23" s="26" t="n">
        <x:v>0</x:v>
      </x:c>
      <x:c r="G23" s="26" t="n">
        <x:v>39</x:v>
      </x:c>
      <x:c r="H23" s="9" t="str">
        <x:v>现货授权nanamica Cargo Pants CORDURA 防撕裂口袋工装裤26AW</x:v>
      </x:c>
      <x:c r="I23" s="25" t="e">
        <x:f>HYPERLINK("https://item.taobao.com/item.htm?id=1086794768069","查看代表商品")</x:f>
        <x:v>HYPERLINK is not implemented. linkLocation=https://item.taobao.com/item.htm?id=1086794768069, friendlyName=查看代表商品</x:v>
      </x:c>
      <x:c r="J23" s="9" t="str"/>
      <x:c r="K23" s="25" t="str"/>
      <x:c r="L23" s="9" t="str">
        <x:v>X_TEAR</x:v>
      </x:c>
      <x:c r="M23" s="22"/>
    </x:row>
    <x:row r="24" ht="58" customHeight="1">
      <x:c r="A24" s="9" t="str">
        <x:v>抗菌/抑菌</x:v>
      </x:c>
      <x:c r="B24" s="22"/>
      <x:c r="C24" s="9" t="str">
        <x:v>补充</x:v>
      </x:c>
      <x:c r="D24" s="9" t="str">
        <x:v>在指定条件下抑制特定试验菌的增长；不等于灭菌、抗病毒、除臭或人体防感染。</x:v>
      </x:c>
      <x:c r="E24" s="26" t="n">
        <x:v>52</x:v>
      </x:c>
      <x:c r="F24" s="26" t="n">
        <x:v>0</x:v>
      </x:c>
      <x:c r="G24" s="26" t="n">
        <x:v>52</x:v>
      </x:c>
      <x:c r="H24" s="9" t="str">
        <x:v>抗菌</x:v>
      </x:c>
      <x:c r="I24" s="25" t="e">
        <x:f>HYPERLINK("https://item.taobao.com/item.htm?id=1018305811542","查看代表商品")</x:f>
        <x:v>HYPERLINK is not implemented. linkLocation=https://item.taobao.com/item.htm?id=1018305811542, friendlyName=查看代表商品</x:v>
      </x:c>
      <x:c r="J24" s="9" t="str"/>
      <x:c r="K24" s="25" t="str"/>
      <x:c r="L24" s="9" t="str">
        <x:v>O01</x:v>
      </x:c>
      <x:c r="M24" s="22"/>
    </x:row>
    <x:row r="25" ht="58" customHeight="1">
      <x:c r="A25" s="9" t="str">
        <x:v>可水洗</x:v>
      </x:c>
      <x:c r="B25" s="22"/>
      <x:c r="C25" s="9" t="str">
        <x:v>补充</x:v>
      </x:c>
      <x:c r="D25" s="9" t="str">
        <x:v>在规定以水为介质的洗涤条件下适合清洗；需说明手洗还是机洗。</x:v>
      </x:c>
      <x:c r="E25" s="26" t="n">
        <x:v>8</x:v>
      </x:c>
      <x:c r="F25" s="26" t="n">
        <x:v>0</x:v>
      </x:c>
      <x:c r="G25" s="26" t="n">
        <x:v>8</x:v>
      </x:c>
      <x:c r="H25" s="9" t="str">
        <x:v>【双11】ICICLE之禾女装2026秋新款可水洗厚弹力羊毛罗马布打底裤</x:v>
      </x:c>
      <x:c r="I25" s="25" t="e">
        <x:f>HYPERLINK("https://item.taobao.com/item.htm?id=1077236534934","查看代表商品")</x:f>
        <x:v>HYPERLINK is not implemented. linkLocation=https://item.taobao.com/item.htm?id=1077236534934, friendlyName=查看代表商品</x:v>
      </x:c>
      <x:c r="J25" s="9" t="str"/>
      <x:c r="K25" s="25" t="str"/>
      <x:c r="L25" s="9" t="str">
        <x:v>X_WATER_WASH</x:v>
      </x:c>
      <x:c r="M25" s="22"/>
    </x:row>
    <x:row r="26" ht="58" customHeight="1">
      <x:c r="A26" s="9" t="str">
        <x:v>抗静电</x:v>
      </x:c>
      <x:c r="B26" s="22"/>
      <x:c r="C26" s="9" t="str">
        <x:v>补充</x:v>
      </x:c>
      <x:c r="D26" s="9" t="str">
        <x:v>减少静电积聚或促进电荷消散，具体含义取决于测量电压、衰减、电荷量或电阻等哪一指标。</x:v>
      </x:c>
      <x:c r="E26" s="26" t="n">
        <x:v>35</x:v>
      </x:c>
      <x:c r="F26" s="26" t="n">
        <x:v>0</x:v>
      </x:c>
      <x:c r="G26" s="26" t="n">
        <x:v>35</x:v>
      </x:c>
      <x:c r="H26" s="9" t="str">
        <x:v>【头道绒抗静电】鄂尔多斯1980纯羊绒男休闲束脚裤可机洗</x:v>
      </x:c>
      <x:c r="I26" s="25" t="e">
        <x:f>HYPERLINK("https://item.taobao.com/item.htm?id=889762089751","查看代表商品")</x:f>
        <x:v>HYPERLINK is not implemented. linkLocation=https://item.taobao.com/item.htm?id=889762089751, friendlyName=查看代表商品</x:v>
      </x:c>
      <x:c r="J26" s="9" t="str"/>
      <x:c r="K26" s="25" t="str"/>
      <x:c r="L26" s="9" t="str">
        <x:v>O02</x:v>
      </x:c>
      <x:c r="M26" s="22"/>
    </x:row>
    <x:row r="27" ht="58" customHeight="1">
      <x:c r="A27" s="9" t="str">
        <x:v>防透/防走光</x:v>
      </x:c>
      <x:c r="B27" s="22"/>
      <x:c r="C27" s="9" t="str">
        <x:v>补充</x:v>
      </x:c>
      <x:c r="D27" s="9" t="str">
        <x:v>需区分面料不易透见内层，与成衣因长度、开衩、内衬或动作造成暴露的防护。</x:v>
      </x:c>
      <x:c r="E27" s="26" t="n">
        <x:v>31</x:v>
      </x:c>
      <x:c r="F27" s="26" t="n">
        <x:v>0</x:v>
      </x:c>
      <x:c r="G27" s="26" t="n">
        <x:v>31</x:v>
      </x:c>
      <x:c r="H27" s="9" t="str">
        <x:v>【防透面料】比音勒芬高尔夫2026春夏新款男士通勤运动直筒休闲裤</x:v>
      </x:c>
      <x:c r="I27" s="25" t="e">
        <x:f>HYPERLINK("https://item.taobao.com/item.htm?id=1013053086843","查看代表商品")</x:f>
        <x:v>HYPERLINK is not implemented. linkLocation=https://item.taobao.com/item.htm?id=1013053086843, friendlyName=查看代表商品</x:v>
      </x:c>
      <x:c r="J27" s="9" t="str"/>
      <x:c r="K27" s="25" t="str"/>
      <x:c r="L27" s="9" t="str">
        <x:v>X_OPACITY</x:v>
      </x:c>
      <x:c r="M27" s="22"/>
    </x:row>
    <x:row r="28" ht="58" customHeight="1">
      <x:c r="A28" s="9" t="str">
        <x:v>免熨烫</x:v>
      </x:c>
      <x:c r="B28" s="22"/>
      <x:c r="C28" s="9" t="str">
        <x:v>补充</x:v>
      </x:c>
      <x:c r="D28" s="9" t="str">
        <x:v>按规定洗涤干燥后，不需熨烫即可达到事先约定的外观要求。</x:v>
      </x:c>
      <x:c r="E28" s="26" t="n">
        <x:v>2</x:v>
      </x:c>
      <x:c r="F28" s="26" t="n">
        <x:v>0</x:v>
      </x:c>
      <x:c r="G28" s="26" t="n">
        <x:v>2</x:v>
      </x:c>
      <x:c r="H28" s="9" t="str">
        <x:v>恺米切2026年秋冬新款男士免熨烫保暖休闲裤通勤简约长裤咖色裤子</x:v>
      </x:c>
      <x:c r="I28" s="25" t="e">
        <x:f>HYPERLINK("https://item.taobao.com/item.htm?id=1077415814222","查看代表商品")</x:f>
        <x:v>HYPERLINK is not implemented. linkLocation=https://item.taobao.com/item.htm?id=1077415814222, friendlyName=查看代表商品</x:v>
      </x:c>
      <x:c r="J28" s="9" t="str"/>
      <x:c r="K28" s="25" t="str"/>
      <x:c r="L28" s="9" t="str">
        <x:v>X_NO_IRON</x:v>
      </x:c>
      <x:c r="M28" s="22"/>
    </x:row>
    <x:row r="29" ht="58" customHeight="1">
      <x:c r="A29" s="9" t="str">
        <x:v>抗变形/保形</x:v>
      </x:c>
      <x:c r="B29" s="22"/>
      <x:c r="C29" s="9" t="str">
        <x:v>补充</x:v>
      </x:c>
      <x:c r="D29" s="9" t="str">
        <x:v>需明确抵抗的是洗后尺寸变化、穿着伸长后不恢复，还是成衣外观形态变化。</x:v>
      </x:c>
      <x:c r="E29" s="26" t="n">
        <x:v>5</x:v>
      </x:c>
      <x:c r="F29" s="26" t="n">
        <x:v>59</x:v>
      </x:c>
      <x:c r="G29" s="26" t="n">
        <x:v>64</x:v>
      </x:c>
      <x:c r="H29" s="9" t="str">
        <x:v>高弹不易变形</x:v>
      </x:c>
      <x:c r="I29" s="25" t="e">
        <x:f>HYPERLINK("https://item.taobao.com/item.htm?id=1067794697989","查看代表商品")</x:f>
        <x:v>HYPERLINK is not implemented. linkLocation=https://item.taobao.com/item.htm?id=1067794697989, friendlyName=查看代表商品</x:v>
      </x:c>
      <x:c r="J29" s="9" t="str">
        <x:v>保形；抗变形/保形</x:v>
      </x:c>
      <x:c r="K29" s="25" t="e">
        <x:f>HYPERLINK("https://www.lululemon.co.uk/en-gb/p/swift-speed-high-rise-tight-28%22-luxtreme/prod11860116.html","查看官网说明")</x:f>
        <x:v>HYPERLINK is not implemented. linkLocation=https://www.lululemon.co.uk/en-gb/p/swift-speed-high-rise-tight-28%22-luxtreme/prod11860116.html, friendlyName=查看官网说明</x:v>
      </x:c>
      <x:c r="L29" s="9" t="str">
        <x:v>X_SHAPE</x:v>
      </x:c>
      <x:c r="M29" s="22"/>
    </x:row>
    <x:row r="30" ht="58" customHeight="1">
      <x:c r="A30" s="9" t="str">
        <x:v>散热</x:v>
      </x:c>
      <x:c r="B30" s="22"/>
      <x:c r="C30" s="9" t="str">
        <x:v>补充</x:v>
      </x:c>
      <x:c r="D30" s="9" t="str">
        <x:v>帮助人体产生的热量向环境传递的宽泛说法，可能涉及热阻、空气流动或汗液蒸发。</x:v>
      </x:c>
      <x:c r="E30" s="26" t="n">
        <x:v>8</x:v>
      </x:c>
      <x:c r="F30" s="26" t="n">
        <x:v>0</x:v>
      </x:c>
      <x:c r="G30" s="26" t="n">
        <x:v>8</x:v>
      </x:c>
      <x:c r="H30" s="9" t="str">
        <x:v>KAILAS凯乐石女款T10-X软壳裤CORDURA强韧耐磨散热透气运动徒步裤</x:v>
      </x:c>
      <x:c r="I30" s="25" t="e">
        <x:f>HYPERLINK("https://item.taobao.com/item.htm?id=963950541708","查看代表商品")</x:f>
        <x:v>HYPERLINK is not implemented. linkLocation=https://item.taobao.com/item.htm?id=963950541708, friendlyName=查看代表商品</x:v>
      </x:c>
      <x:c r="J30" s="9" t="str"/>
      <x:c r="K30" s="25" t="str"/>
      <x:c r="L30" s="9" t="str">
        <x:v>X_HEAT_DISSIPATION</x:v>
      </x:c>
      <x:c r="M30" s="22"/>
    </x:row>
    <x:row r="31" ht="58" customHeight="1">
      <x:c r="A31" s="9" t="str">
        <x:v>耐穿/耐用</x:v>
      </x:c>
      <x:c r="B31" s="22"/>
      <x:c r="C31" s="9" t="str">
        <x:v>补充</x:v>
      </x:c>
      <x:c r="D31" s="9" t="str">
        <x:v>对使用寿命或抵抗损坏的综合描述，需说明何种磨损、清洗或受力情景。</x:v>
      </x:c>
      <x:c r="E31" s="26" t="n">
        <x:v>30</x:v>
      </x:c>
      <x:c r="F31" s="26" t="n">
        <x:v>160</x:v>
      </x:c>
      <x:c r="G31" s="26" t="n">
        <x:v>190</x:v>
      </x:c>
      <x:c r="H31" s="9" t="str">
        <x:v>舒适耐穿</x:v>
      </x:c>
      <x:c r="I31" s="25" t="e">
        <x:f>HYPERLINK("https://item.taobao.com/item.htm?id=1020463815176","查看代表商品")</x:f>
        <x:v>HYPERLINK is not implemented. linkLocation=https://item.taobao.com/item.htm?id=1020463815176, friendlyName=查看代表商品</x:v>
      </x:c>
      <x:c r="J31" s="9" t="str">
        <x:v>耐穿；耐穿/耐用</x:v>
      </x:c>
      <x:c r="K31" s="25" t="e">
        <x:f>HYPERLINK("https://cordura.com/faq","查看官网说明")</x:f>
        <x:v>HYPERLINK is not implemented. linkLocation=https://cordura.com/faq, friendlyName=查看官网说明</x:v>
      </x:c>
      <x:c r="L31" s="9" t="str">
        <x:v>X_DURABILITY</x:v>
      </x:c>
      <x:c r="M31" s="22"/>
    </x:row>
    <x:row r="32" ht="58" customHeight="1">
      <x:c r="A32" s="9" t="str">
        <x:v>压缩支撑</x:v>
      </x:c>
      <x:c r="B32" s="22"/>
      <x:c r="C32" s="9" t="str">
        <x:v>补充</x:v>
      </x:c>
      <x:c r="D32" s="9" t="str">
        <x:v>官网MCS技术定位支撑；未等同该款实测或医学功能，不设未核实压缩等级或医疗功效阈值。</x:v>
      </x:c>
      <x:c r="E32" s="26" t="n">
        <x:v>0</x:v>
      </x:c>
      <x:c r="F32" s="26" t="n">
        <x:v>1</x:v>
      </x:c>
      <x:c r="G32" s="26" t="n">
        <x:v>1</x:v>
      </x:c>
      <x:c r="H32" s="9" t="str">
        <x:v>澳洲2XU MCS Elite 精英款运动紧身健身跑步马拉松速干压缩裤男</x:v>
      </x:c>
      <x:c r="I32" s="25" t="e">
        <x:f>HYPERLINK("https://item.taobao.com/item.htm?id=627278852759","查看代表商品")</x:f>
        <x:v>HYPERLINK is not implemented. linkLocation=https://item.taobao.com/item.htm?id=627278852759, friendlyName=查看代表商品</x:v>
      </x:c>
      <x:c r="J32" s="9" t="str">
        <x:v>压缩支撑</x:v>
      </x:c>
      <x:c r="K32" s="25" t="e">
        <x:f>HYPERLINK("https://teams.2xu.com/pages/elite-mcs","查看官网说明")</x:f>
        <x:v>HYPERLINK is not implemented. linkLocation=https://teams.2xu.com/pages/elite-mcs, friendlyName=查看官网说明</x:v>
      </x:c>
      <x:c r="L32" s="9" t="str"/>
      <x:c r="M32" s="22"/>
    </x:row>
    <x:row r="33" ht="58" customHeight="1">
      <x:c r="A33" s="9" t="str">
        <x:v>透湿</x:v>
      </x:c>
      <x:c r="B33" s="22"/>
      <x:c r="C33" s="9" t="str">
        <x:v>补充</x:v>
      </x:c>
      <x:c r="D33" s="9" t="str">
        <x:v>水汽通过或排出能力，与空气透过率的透气不同；原空气透气率测试方法不自动适用于膜类透湿。官网技术关联，未等同该款实测。</x:v>
      </x:c>
      <x:c r="E33" s="26" t="n">
        <x:v>0</x:v>
      </x:c>
      <x:c r="F33" s="26" t="n">
        <x:v>6</x:v>
      </x:c>
      <x:c r="G33" s="26" t="n">
        <x:v>6</x:v>
      </x:c>
      <x:c r="H33" s="9" t="str">
        <x:v>AWE S强装冲锋裤|户外运动防风防水Dermizax越野跑男|UPPERVOID</x:v>
      </x:c>
      <x:c r="I33" s="25" t="e">
        <x:f>HYPERLINK("https://item.taobao.com/item.htm?id=1012857642373","查看代表商品")</x:f>
        <x:v>HYPERLINK is not implemented. linkLocation=https://item.taobao.com/item.htm?id=1012857642373, friendlyName=查看代表商品</x:v>
      </x:c>
      <x:c r="J33" s="9" t="str">
        <x:v>透湿（水汽排出）</x:v>
      </x:c>
      <x:c r="K33" s="25" t="e">
        <x:f>HYPERLINK("https://www.toray.com/news/article.html?contentId=8h8pg3c9","查看官网说明")</x:f>
        <x:v>HYPERLINK is not implemented. linkLocation=https://www.toray.com/news/article.html?contentId=8h8pg3c9, friendlyName=查看官网说明</x:v>
      </x:c>
      <x:c r="L33" s="9" t="str"/>
      <x:c r="M33" s="22"/>
    </x:row>
  </x:sheetData>
  <x:dataValidations count="1">
    <x:dataValidation type="list" sqref="B7:B33">
      <x:formula1>"基础,补充"</x:formula1>
    </x:dataValidation>
  </x:dataValidations>
  <x:pageMargins left="0.7" right="0.7" top="0.75" bottom="0.75" header="0.3" footer="0.3"/>
  <x:tableParts count="1">
    <x:tablePart xmlns:r="http://schemas.openxmlformats.org/officeDocument/2006/relationships" r:id="Rc916f5bf33e94641"/>
  </x:tableParts>
</x:worksheet>
</file>